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545" firstSheet="4" activeTab="4"/>
  </bookViews>
  <sheets>
    <sheet name="DMPL" sheetId="1" state="hidden" r:id="rId1"/>
    <sheet name="duvidas" sheetId="2" state="hidden" r:id="rId2"/>
    <sheet name="Plan1" sheetId="3" state="hidden" r:id="rId3"/>
    <sheet name="Máquinas e equipamentos" sheetId="4" state="hidden" r:id="rId4"/>
    <sheet name="BALANCO" sheetId="5" r:id="rId5"/>
    <sheet name="DRE" sheetId="6" r:id="rId6"/>
  </sheets>
  <definedNames>
    <definedName name="_xlnm.Print_Area" localSheetId="4">'BALANCO'!$A$1:$U$102</definedName>
    <definedName name="_xlnm.Print_Area" localSheetId="5">'DRE'!$B$1:$AD$64</definedName>
  </definedNames>
  <calcPr fullCalcOnLoad="1"/>
</workbook>
</file>

<file path=xl/sharedStrings.xml><?xml version="1.0" encoding="utf-8"?>
<sst xmlns="http://schemas.openxmlformats.org/spreadsheetml/2006/main" count="484" uniqueCount="294">
  <si>
    <t>DESCRIÇÃO</t>
  </si>
  <si>
    <t>%</t>
  </si>
  <si>
    <t>ATIVO</t>
  </si>
  <si>
    <t>CIRCULANTE</t>
  </si>
  <si>
    <t>Disponível</t>
  </si>
  <si>
    <t>Banco Conta Movimento</t>
  </si>
  <si>
    <t>Banco Aplicação Financeira</t>
  </si>
  <si>
    <t>Valores a Receber</t>
  </si>
  <si>
    <t>ATIVO NÃO CIRCULANTE</t>
  </si>
  <si>
    <t>Investimentos</t>
  </si>
  <si>
    <t xml:space="preserve">     Direito uso linha telefônica</t>
  </si>
  <si>
    <t>Imobilizado</t>
  </si>
  <si>
    <t>Móveis e Utensílios</t>
  </si>
  <si>
    <t>Maquinas e Equipamentos</t>
  </si>
  <si>
    <t>(-) Depreciações</t>
  </si>
  <si>
    <t>PASSIVO</t>
  </si>
  <si>
    <t>Credores p/Funcionamento</t>
  </si>
  <si>
    <t>Fornecedores</t>
  </si>
  <si>
    <t>Salários a Pagar</t>
  </si>
  <si>
    <t>Obrigações Sociais a Recolher</t>
  </si>
  <si>
    <t>Provisão de Férias/13o/Encargos</t>
  </si>
  <si>
    <t>Adiantamento de Associados</t>
  </si>
  <si>
    <t>PATRIMÔNIO SOCIAL</t>
  </si>
  <si>
    <t>Reservas</t>
  </si>
  <si>
    <t xml:space="preserve">Fundo Patrimonial </t>
  </si>
  <si>
    <t>APMP- ASSOCIAÇÃO DOS PROD. DE MAT.PRIMAS PARA AS IND. DE BIONERGIA DE GOIÁS</t>
  </si>
  <si>
    <t>Computadores e Periféricos</t>
  </si>
  <si>
    <t>A - BALANÇO PATRIMONIAL</t>
  </si>
  <si>
    <t>A Vert.%</t>
  </si>
  <si>
    <t>2 - CUSTOS OPERACIONAIS</t>
  </si>
  <si>
    <t>3 (1-2) - RESULTADO OPERACIONAL LÍQUIDO</t>
  </si>
  <si>
    <t>4 - RECEITAS/DESPESAS COMPLEMENTARES</t>
  </si>
  <si>
    <t>( + )</t>
  </si>
  <si>
    <t>4.2</t>
  </si>
  <si>
    <t>5 (3+4)</t>
  </si>
  <si>
    <t xml:space="preserve">2.1- CUSTOS COM PESSOAL </t>
  </si>
  <si>
    <t>2.1.1</t>
  </si>
  <si>
    <t>B - DEMONSTRAÇÃO DO RESULTADO DO EXERCÍCIO</t>
  </si>
  <si>
    <t>A.Vertical</t>
  </si>
  <si>
    <t>TOTAL</t>
  </si>
  <si>
    <t>T O T A L - (31.12.2009)</t>
  </si>
  <si>
    <t>T O T A L - (31.12.2010)</t>
  </si>
  <si>
    <t xml:space="preserve">C - DEMONSTRAÇÃO DAS MUTAÇÕES DO PATRIMÔNIO SOCIAL. </t>
  </si>
  <si>
    <t>FUNDO PATRIMONIAL</t>
  </si>
  <si>
    <t>2.Operacional</t>
  </si>
  <si>
    <t>2.1 - Superávit Líq. do Exercício 2010</t>
  </si>
  <si>
    <t>2.1 - Superávit Líq. do Exercício 2009</t>
  </si>
  <si>
    <t xml:space="preserve">DEMONSTRAÇÕES CONTÁBEIS LEVANTADAS EM 31 DE DEZEMBRO DE  2010 </t>
  </si>
  <si>
    <t xml:space="preserve"> SUPERÁVIT ACUMULADO </t>
  </si>
  <si>
    <t>1 Estatutário</t>
  </si>
  <si>
    <t>1.1  - Jóias de Admissão</t>
  </si>
  <si>
    <t>Adiantamento a Fornecedores</t>
  </si>
  <si>
    <t>Outras Contas a Pagar</t>
  </si>
  <si>
    <t>( - )</t>
  </si>
  <si>
    <t>Veículos</t>
  </si>
  <si>
    <t xml:space="preserve">CLUBE CAMPESTRE DE RIO VERDE </t>
  </si>
  <si>
    <t>Creditos Financeiros</t>
  </si>
  <si>
    <t>Adiantamento a Funcionários</t>
  </si>
  <si>
    <t xml:space="preserve">Impostos a Recuperar </t>
  </si>
  <si>
    <t xml:space="preserve">Cheques Pendentes </t>
  </si>
  <si>
    <t>Estoques</t>
  </si>
  <si>
    <t>Mercadorias p/Revenda</t>
  </si>
  <si>
    <t xml:space="preserve">Despesas Antecipadas </t>
  </si>
  <si>
    <t>Seguros</t>
  </si>
  <si>
    <t>Depósito Judicial</t>
  </si>
  <si>
    <t xml:space="preserve">Direito de Uso Software/Linha </t>
  </si>
  <si>
    <t>Edificações</t>
  </si>
  <si>
    <t>Instalações Eletricas Hidr</t>
  </si>
  <si>
    <t>Equipamentos Academia</t>
  </si>
  <si>
    <t>Equipamentos Pianos Bar</t>
  </si>
  <si>
    <t>Material de Esporte</t>
  </si>
  <si>
    <t>Parque Infantil</t>
  </si>
  <si>
    <t xml:space="preserve">Brinquedos sala de jogos </t>
  </si>
  <si>
    <t>Móveis e Utensílios pianos Bar</t>
  </si>
  <si>
    <t>Catraca Eletronica</t>
  </si>
  <si>
    <t xml:space="preserve">Materias Aplicados </t>
  </si>
  <si>
    <t>Mao obra aplicada após 1996</t>
  </si>
  <si>
    <t>Materiais aplicados após 1996</t>
  </si>
  <si>
    <t>Aparelhos Equipamentos ap1996</t>
  </si>
  <si>
    <t>Instalações Ap 1996</t>
  </si>
  <si>
    <t>Móveis e Utesnilios / Ap 1996</t>
  </si>
  <si>
    <t>Material de Esporte /Ap 1996</t>
  </si>
  <si>
    <t>Intagivel</t>
  </si>
  <si>
    <t>Marcas e Patentes</t>
  </si>
  <si>
    <t xml:space="preserve">( - ) </t>
  </si>
  <si>
    <t>Mensalidade Social</t>
  </si>
  <si>
    <t>Convite Social</t>
  </si>
  <si>
    <t>Empréstimos Bancários</t>
  </si>
  <si>
    <t>NÃO CIRCULANTE</t>
  </si>
  <si>
    <t>Empréstimos e Financiamentos</t>
  </si>
  <si>
    <t>Capital Subscrito</t>
  </si>
  <si>
    <t>Superávit Acumulado após 1988</t>
  </si>
  <si>
    <t>Resultado Período 2009</t>
  </si>
  <si>
    <t>Mao de obra aplicada</t>
  </si>
  <si>
    <t>Ferramentas</t>
  </si>
  <si>
    <t>Adiantamento de Mão de Obra</t>
  </si>
  <si>
    <t>Projeto Licença Ambiental</t>
  </si>
  <si>
    <t>Construções em andamento</t>
  </si>
  <si>
    <t>Resultado  Período 2010</t>
  </si>
  <si>
    <t>Participações Empresas / Ações</t>
  </si>
  <si>
    <t>Imóveis</t>
  </si>
  <si>
    <t>edificações - Campestre Bar</t>
  </si>
  <si>
    <t>( - ) Déficit do Exercício</t>
  </si>
  <si>
    <t>Resultado Período 2011</t>
  </si>
  <si>
    <t xml:space="preserve"> Caixa</t>
  </si>
  <si>
    <t>Ações Patrimoniais</t>
  </si>
  <si>
    <t>Outras Contas a Pagar / Terceiros</t>
  </si>
  <si>
    <t>Cheques em trânsito / a compensar</t>
  </si>
  <si>
    <t>Tributos a recolher</t>
  </si>
  <si>
    <t>Resultado Periodo 2012</t>
  </si>
  <si>
    <t>(-) icms</t>
  </si>
  <si>
    <t xml:space="preserve"> </t>
  </si>
  <si>
    <t>( = )</t>
  </si>
  <si>
    <t>2.1.2</t>
  </si>
  <si>
    <t>Encargos trabalhistas</t>
  </si>
  <si>
    <t>PCLD</t>
  </si>
  <si>
    <t xml:space="preserve">   </t>
  </si>
  <si>
    <t>Demonstrações Contábeis Exercício AGOSTO 2009 a  JULHO 2012</t>
  </si>
  <si>
    <t>Aplicações</t>
  </si>
  <si>
    <t xml:space="preserve">SUPERÁVIT /DEFICIT DO EXERCÍCIO </t>
  </si>
  <si>
    <t>Cartões a receber</t>
  </si>
  <si>
    <t>Cotas integralização Sicredi</t>
  </si>
  <si>
    <t>Instalações</t>
  </si>
  <si>
    <t>Play-ground</t>
  </si>
  <si>
    <t>Terrenos</t>
  </si>
  <si>
    <t>Imobilizado em andamento</t>
  </si>
  <si>
    <t>Marcas e patentes</t>
  </si>
  <si>
    <t>Software</t>
  </si>
  <si>
    <t>Direito de uso</t>
  </si>
  <si>
    <t>Projeto licanca ambiental</t>
  </si>
  <si>
    <t>Ajuste de exercícios anteriores</t>
  </si>
  <si>
    <t>Academia</t>
  </si>
  <si>
    <t>Carteirinha</t>
  </si>
  <si>
    <t>Salários</t>
  </si>
  <si>
    <t>A.Vertical %</t>
  </si>
  <si>
    <t>Caixa valor alto 56.000</t>
  </si>
  <si>
    <t>titulos capitalização</t>
  </si>
  <si>
    <t>valor sem variação no mês, vai ter regaste?</t>
  </si>
  <si>
    <t>deposito judicial</t>
  </si>
  <si>
    <t>este deposito foi cumprimento de sentença ou fez deposito para continuar questionando na justiça e de que processo se refere?</t>
  </si>
  <si>
    <t>P</t>
  </si>
  <si>
    <t>qual criterio foi aplicado para o calculo?</t>
  </si>
  <si>
    <t>adiantamento funcionario</t>
  </si>
  <si>
    <t>esta conta esta conciliada? Achei o valor alto</t>
  </si>
  <si>
    <t xml:space="preserve">adiantamento Rio Verde INOX </t>
  </si>
  <si>
    <t>do que se refere este adiantamento</t>
  </si>
  <si>
    <t>Sicred</t>
  </si>
  <si>
    <t>foi integralização ou distribuição de sobras?</t>
  </si>
  <si>
    <t>Maquinas e equipamentos</t>
  </si>
  <si>
    <t>variação de 400 mi no trimestre compra de que?</t>
  </si>
  <si>
    <t>fornecedor  ADARCIO CARDOSO DO</t>
  </si>
  <si>
    <t>1800 devedor do que se refere?</t>
  </si>
  <si>
    <t xml:space="preserve"> TAXA NEGOCIAL E HONORATICI</t>
  </si>
  <si>
    <t>?</t>
  </si>
  <si>
    <t xml:space="preserve">21260 2101120000   OUTRAS CONTAS A PAGAR    </t>
  </si>
  <si>
    <t>tem saldo de bancos isto é emprestimo?</t>
  </si>
  <si>
    <t xml:space="preserve"> ADIANTAMENTO-OUTROS VALOREs</t>
  </si>
  <si>
    <t>o que se refere este 20 mil</t>
  </si>
  <si>
    <t>qual a diferença de antecipações de clientes e antecipação de socios?</t>
  </si>
  <si>
    <t>É porque nos próximos dias houve depósitos muito altos e muitos pagamentos.</t>
  </si>
  <si>
    <t>Este título começou a ser resgatado em 2017, e o pessoal do Clube não conseguiu extrato desse título (cobrei inúmeras vezes, até que o Romero me ligou com falta de educação falando  "Maurienne, título de capitalização não tem extrato!! Todo mundo sabe disso, só você que não sabe.")</t>
  </si>
  <si>
    <t>Conforme falamos via telefone usei uma planilha de 2017 que o Romero tinha dos valores que não haviam sido recebidos até uma determinada data (planilha esta que ele atualiza sempre para passar para o Roberto), era a única forma que tínhamos de reconhecer PCLD de 2016. Lembro-me que conversei com você e alinhamos que a partir de 2017 registraríamos como PCLD os títulos vencidos até 6 meses antes da competência digitada, e que em 2016 poderíamos deixar como está, já que era a única forma.</t>
  </si>
  <si>
    <t>É um adiantamento a fornecedor que foi zerado em 2016 mesmo, porém em meses posteriores.</t>
  </si>
  <si>
    <t>Se estiver falando da conta 13058 é integralização de cotas e integralização das sobras.</t>
  </si>
  <si>
    <t>Compra de inúmeros equipamentos para academia, bebedouros - segue composição da variação em planilha ao lado desta.</t>
  </si>
  <si>
    <t>Desconto na folha de pagamento de taxa sindical. Todo mês há este desconto que é expresso em convenção coletiva.</t>
  </si>
  <si>
    <t>Isto são inúuuuuumeros cheques emitidos aguardando compensação bancária, o saldo é realmente alto, pois muitos fornecedores demoram para compensar o cheque (alguns demoram mais de 02 ou 03 meses para compensar).</t>
  </si>
  <si>
    <t>Segundo o financeiro do Clube Campestre são valores que o Roberto emprestou ao Clube, inclusive este valor é muito maior (que você verá no balancete dos próximos períodos). Em 2017 há inúmeras saídas do caixa de valores pagando este empréstimo. Segundo eles, este empréstimo é meio 'em off'.... poucas pessoas sabem, tanto é que quando eu ligava pra perguntar a que se referia, para melhor classificação contábil, o nome dele não era citado em voz alta.</t>
  </si>
  <si>
    <t>A conta 'Adiantamento de clientes' se refere às mensalidades pagas antecipadamente, pagas antes do vencimento, que eu contabilizo o pagamento nesta conta e vou baixando na competência correta. A conta 'Antecipação de crédito aos sócios' é aquele cartão consumo usado no bar.</t>
  </si>
  <si>
    <t>O saldo inicial veio alto então questionei ao financeiro do Clube se aqueles depósitos judiciais ainda eram válidos, pois há valores de 2015, eles me falaram que muitos ainda eram válidos sim, porém não seria possível eles verificarem antes do fechamento da contabilidade, pois demandava tempo. Combinei com eles que veríamos isto em 2017 para ajuste do saldo correto.</t>
  </si>
  <si>
    <t>Não está conciliada. Realmente saldo está muuuuito alto, porém há uma grande bagunça nos adiantamentos. Percebi que muitos valores foram adiantados, mas não foram descontados na competência certa, ou foram adiantados e parcelado, porém descontava uma parcela em um mês e na outra não e depois não localizava o restante do desconto.</t>
  </si>
  <si>
    <t>DATA</t>
  </si>
  <si>
    <t>N° NF</t>
  </si>
  <si>
    <t>FORNECEDOR</t>
  </si>
  <si>
    <t>VALOR</t>
  </si>
  <si>
    <t>ITEM</t>
  </si>
  <si>
    <t>MEGATECH INFORMÁTICA LTDA</t>
  </si>
  <si>
    <t>JHT AGUAS CLARAS COMERCIO DE PRODUTOS E EQUIPAMENTOS ESPORTIVOS</t>
  </si>
  <si>
    <t>PL SOUTO E CIA LTDA</t>
  </si>
  <si>
    <t>CATRAL REFRIGERACAO E ELETRODOMESTICOS LTDA</t>
  </si>
  <si>
    <t>1 LEITOR LASER SOLARIS</t>
  </si>
  <si>
    <t>10 ESTEIRAS TZERO JHNSON C/ INCL. ELETRI.</t>
  </si>
  <si>
    <t>02 BICICLETAS R1X HORZ ELETROMAG C/ PROGRAMACAO</t>
  </si>
  <si>
    <t>02 BICICLETAS U1X VERT. ELETROMAG C/ PROGRAMACAO</t>
  </si>
  <si>
    <t>01 AR1 ROWER MATRIX</t>
  </si>
  <si>
    <t>16 BICLICLETAS PARA CICLISMO INDOOD JOHNSON</t>
  </si>
  <si>
    <t>02 E3X/ E5X ESTR III ELIPTICO MATRIX</t>
  </si>
  <si>
    <t>02 BICICLETAS EHRU3X PAINEL II ELIPTICO MATRIX</t>
  </si>
  <si>
    <t>01 G7S7 LEG EXTENSION G7 MATRIX</t>
  </si>
  <si>
    <t>01 G7S72 SEATED LEGCURL G7 MATRIX</t>
  </si>
  <si>
    <t>01 G3S30 LAT PULLDOWN G3 MATRIX</t>
  </si>
  <si>
    <t>01 G3S60 DIP/ CHIN ASSIT G3 MATRIX</t>
  </si>
  <si>
    <t>01 VSS34H DIVERGING SEATED ROW VERSA</t>
  </si>
  <si>
    <t>01 G7S40 INDEPENDENT BICEPS CURL G7</t>
  </si>
  <si>
    <t>01 BEBEDOURO 100 LT TORN</t>
  </si>
  <si>
    <t>DEVOLUÇÃO DE BEBEDOURO 01 BEBEDOURO 100 LT TORN</t>
  </si>
  <si>
    <t>01 CONSERV VERT P VID 402 LT</t>
  </si>
  <si>
    <t>01 CONSERV VERTI 5P VD PT</t>
  </si>
  <si>
    <t>VARIAÇÃO DA CONTA 'MÁQUINAS E EQUIPAMENTOS' (01/04/2016 a 30/06/2016)</t>
  </si>
  <si>
    <t>01 G3PL14 INCLINE BANK PRESS MATRIX</t>
  </si>
  <si>
    <t>CLUBE CAMPESTRE DE RIO VERDE</t>
  </si>
  <si>
    <t>Foi um pagamento realizado antes da contabilização da nota fiscal (adiantamento a fornecedor), corrigi e segue balancete os relatórios deste arquivo já estão c/ a correção.</t>
  </si>
  <si>
    <t>Caixa</t>
  </si>
  <si>
    <t>Venda de terrenos a receber</t>
  </si>
  <si>
    <t>4.2.1</t>
  </si>
  <si>
    <t>4.2.2</t>
  </si>
  <si>
    <t>2.1.3</t>
  </si>
  <si>
    <t>1.1 =  RECEITAS OPERACIONAIS</t>
  </si>
  <si>
    <t>Eventos Sociais</t>
  </si>
  <si>
    <t>1.2 = CUSTOS S/ VENDAS</t>
  </si>
  <si>
    <t>1.3 = RECEITA OPERACIONAL LIQ.</t>
  </si>
  <si>
    <t>Outros Gastos c/ Pessoal</t>
  </si>
  <si>
    <t>2.2- CUSTOS OPERACIONAIS</t>
  </si>
  <si>
    <t>2.2.1</t>
  </si>
  <si>
    <t>Custos Operacionais</t>
  </si>
  <si>
    <t>2.2.2</t>
  </si>
  <si>
    <t>Custos de Conservação e manutençao</t>
  </si>
  <si>
    <t>2.2.3</t>
  </si>
  <si>
    <t>Custos Bar</t>
  </si>
  <si>
    <t>2.2.4</t>
  </si>
  <si>
    <t>Gastos Esporte</t>
  </si>
  <si>
    <t>2.2.5</t>
  </si>
  <si>
    <t>Custos Academia</t>
  </si>
  <si>
    <t>2.2.6</t>
  </si>
  <si>
    <t>Custos Sauna</t>
  </si>
  <si>
    <t>2.2.7</t>
  </si>
  <si>
    <t>Custos Piscinas</t>
  </si>
  <si>
    <t>2.2.8</t>
  </si>
  <si>
    <t>2.2.9</t>
  </si>
  <si>
    <t>Depreciações/amortizações</t>
  </si>
  <si>
    <t>Provisões/Perdas</t>
  </si>
  <si>
    <t>2.3 - CUSTOS INVESTIMENTOS</t>
  </si>
  <si>
    <t>Custos Investimentos</t>
  </si>
  <si>
    <t>Receitas Complementares</t>
  </si>
  <si>
    <t>Receitas Financeiras</t>
  </si>
  <si>
    <t>Receita com aluguel/espaço publicitario</t>
  </si>
  <si>
    <t>Despesas Financeiras</t>
  </si>
  <si>
    <t>Despesas Tributárias</t>
  </si>
  <si>
    <t>(-) ISS s/ serviços</t>
  </si>
  <si>
    <t xml:space="preserve">Cheques a compensar/cobrança </t>
  </si>
  <si>
    <t xml:space="preserve">           Adiantamentos de Tributos </t>
  </si>
  <si>
    <t>(-) Provisão para Perda Crédito</t>
  </si>
  <si>
    <t>Valores Receber Associado</t>
  </si>
  <si>
    <t>Impostos a Recuperar</t>
  </si>
  <si>
    <t>Financiamentos/Parcelamentos</t>
  </si>
  <si>
    <t>Adiantamentos</t>
  </si>
  <si>
    <t>Parcelamento de INSS</t>
  </si>
  <si>
    <t>Venda de Título Social/transferencia titulos</t>
  </si>
  <si>
    <t>(-) Custo estoque</t>
  </si>
  <si>
    <t>Atividades esportivas/dancas</t>
  </si>
  <si>
    <t>Resultado c/ OperaçãoPatrimonial</t>
  </si>
  <si>
    <t>1 - RECEITA OPERACIONAL LIQUIDA</t>
  </si>
  <si>
    <t>2.3.1</t>
  </si>
  <si>
    <t>1.2.1</t>
  </si>
  <si>
    <t>1.2.2</t>
  </si>
  <si>
    <t xml:space="preserve"> 1.1.1</t>
  </si>
  <si>
    <t xml:space="preserve"> 1.1.2</t>
  </si>
  <si>
    <t xml:space="preserve"> 1.1.4</t>
  </si>
  <si>
    <t xml:space="preserve"> 1.1.3</t>
  </si>
  <si>
    <t xml:space="preserve"> 1.1.5</t>
  </si>
  <si>
    <t xml:space="preserve"> 1.1.7</t>
  </si>
  <si>
    <t xml:space="preserve"> 1.1.8</t>
  </si>
  <si>
    <t xml:space="preserve"> 1.1.6</t>
  </si>
  <si>
    <t xml:space="preserve"> 4.1</t>
  </si>
  <si>
    <t xml:space="preserve"> 4.1.1</t>
  </si>
  <si>
    <t xml:space="preserve"> 4.1.2</t>
  </si>
  <si>
    <t xml:space="preserve"> 4.1.3</t>
  </si>
  <si>
    <t xml:space="preserve"> 4.1.5</t>
  </si>
  <si>
    <t xml:space="preserve"> 4.1.4</t>
  </si>
  <si>
    <t>Resultado do período</t>
  </si>
  <si>
    <t>Custos Eventos</t>
  </si>
  <si>
    <t>1.2.3</t>
  </si>
  <si>
    <t>Serviços de Recreação/animação</t>
  </si>
  <si>
    <t>1º TRIMESTRE</t>
  </si>
  <si>
    <t>2º TRIMESTRE</t>
  </si>
  <si>
    <t>3º TRIMESTRE</t>
  </si>
  <si>
    <t>4º TRIMESTRE</t>
  </si>
  <si>
    <t>ANUAL</t>
  </si>
  <si>
    <t>Títulos de Capitalização</t>
  </si>
  <si>
    <t>Estoques Material de Consumo</t>
  </si>
  <si>
    <t>Estoques de Mercadorias p/ Revenda</t>
  </si>
  <si>
    <t>Cotas integralização Credi Rural</t>
  </si>
  <si>
    <t>Contigências Cíveis</t>
  </si>
  <si>
    <t>Publicidades/Outros a receber</t>
  </si>
  <si>
    <t>Cheques a Pagar</t>
  </si>
  <si>
    <t xml:space="preserve">Parcelamento de INSS  </t>
  </si>
  <si>
    <t>2.2.10</t>
  </si>
  <si>
    <t>Custos Casa de Apoio</t>
  </si>
  <si>
    <t>Seguros/Licença Nuvem</t>
  </si>
  <si>
    <t>(-) amortização</t>
  </si>
  <si>
    <t>Doações e Bonificações e Patrocinios</t>
  </si>
  <si>
    <t>Superávit/Déficit de exercícios anteriores</t>
  </si>
  <si>
    <t>Demonstrações Contábeis Exercício 2020</t>
  </si>
  <si>
    <t>Outras Receitas</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</si>
</sst>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 #,##0.00_ ;_ * \-#,##0.00_ ;_ * &quot;-&quot;??_ ;_ @_ "/>
    <numFmt numFmtId="173" formatCode="0.0%"/>
    <numFmt numFmtId="174" formatCode="&quot;Cr$&quot;#,##0_);\(&quot;Cr$&quot;#,##0\)"/>
    <numFmt numFmtId="175" formatCode="&quot;Cr$&quot;#,##0_);[Red]\(&quot;Cr$&quot;#,##0\)"/>
    <numFmt numFmtId="176" formatCode="&quot;Cr$&quot;#,##0.00_);\(&quot;Cr$&quot;#,##0.00\)"/>
    <numFmt numFmtId="177" formatCode="&quot;Cr$&quot;#,##0.00_);[Red]\(&quot;Cr$&quot;#,##0.00\)"/>
    <numFmt numFmtId="178" formatCode="_(&quot;Cr$&quot;* #,##0_);_(&quot;Cr$&quot;* \(#,##0\);_(&quot;Cr$&quot;* &quot;-&quot;_);_(@_)"/>
    <numFmt numFmtId="179" formatCode="_(&quot;Cr$&quot;* #,##0.00_);_(&quot;Cr$&quot;* \(#,##0.00\);_(&quot;Cr$&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rs$&quot;#,##0;&quot;rs$&quot;\-#,##0"/>
    <numFmt numFmtId="187" formatCode="&quot;rs$&quot;#,##0;[Red]&quot;rs$&quot;\-#,##0"/>
    <numFmt numFmtId="188" formatCode="&quot;rs$&quot;#,##0.00;&quot;rs$&quot;\-#,##0.00"/>
    <numFmt numFmtId="189" formatCode="&quot;rs$&quot;#,##0.00;[Red]&quot;rs$&quot;\-#,##0.00"/>
    <numFmt numFmtId="190" formatCode="_ &quot;rs$&quot;* #,##0_ ;_ &quot;rs$&quot;* \-#,##0_ ;_ &quot;rs$&quot;* &quot;-&quot;_ ;_ @_ "/>
    <numFmt numFmtId="191" formatCode="_ * #,##0_ ;_ * \-#,##0_ ;_ * &quot;-&quot;_ ;_ @_ "/>
    <numFmt numFmtId="192" formatCode="_ &quot;rs$&quot;* #,##0.00_ ;_ &quot;rs$&quot;* \-#,##0.00_ ;_ &quot;rs$&quot;* &quot;-&quot;??_ ;_ @_ "/>
    <numFmt numFmtId="193" formatCode="&quot;Cr$&quot;\ #,##0_);\(&quot;Cr$&quot;\ #,##0\)"/>
    <numFmt numFmtId="194" formatCode="&quot;Cr$&quot;\ #,##0_);[Red]\(&quot;Cr$&quot;\ #,##0\)"/>
    <numFmt numFmtId="195" formatCode="&quot;Cr$&quot;\ #,##0.00_);\(&quot;Cr$&quot;\ #,##0.00\)"/>
    <numFmt numFmtId="196" formatCode="&quot;Cr$&quot;\ #,##0.00_);[Red]\(&quot;Cr$&quot;\ #,##0.00\)"/>
    <numFmt numFmtId="197" formatCode="_(&quot;Cr$&quot;\ * #,##0_);_(&quot;Cr$&quot;\ * \(#,##0\);_(&quot;Cr$&quot;\ * &quot;-&quot;_);_(@_)"/>
    <numFmt numFmtId="198" formatCode="_(&quot;Cr$&quot;\ * #,##0.00_);_(&quot;Cr$&quot;\ * \(#,##0.00\);_(&quot;Cr$&quot;\ * &quot;-&quot;??_);_(@_)"/>
    <numFmt numFmtId="199" formatCode="0.000%"/>
    <numFmt numFmtId="200" formatCode="_ * #,##0.0_ ;_ * \-#,##0.0_ ;_ * &quot;-&quot;??_ ;_ @_ "/>
    <numFmt numFmtId="201" formatCode="_ * #,##0_ ;_ * \-#,##0_ ;_ * &quot;-&quot;??_ ;_ @_ "/>
    <numFmt numFmtId="202" formatCode="#,##0.0"/>
    <numFmt numFmtId="203" formatCode="_ * #,##0.000_ ;_ * \-#,##0.000_ ;_ * &quot;-&quot;??_ ;_ @_ "/>
    <numFmt numFmtId="204" formatCode="_ * #,##0.0000_ ;_ * \-#,##0.0000_ ;_ * &quot;-&quot;??_ ;_ @_ "/>
    <numFmt numFmtId="205" formatCode="d/m"/>
    <numFmt numFmtId="206" formatCode="_(* #,##0.000_);_(* \(#,##0.000\);_(* &quot;-&quot;??_);_(@_)"/>
    <numFmt numFmtId="207" formatCode="#,##0.00;[Red]#,##0.00"/>
    <numFmt numFmtId="208" formatCode="&quot;Sim&quot;;&quot;Sim&quot;;&quot;Não&quot;"/>
    <numFmt numFmtId="209" formatCode="&quot;Verdadeiro&quot;;&quot;Verdadeiro&quot;;&quot;Falso&quot;"/>
    <numFmt numFmtId="210" formatCode="&quot;Ativar&quot;;&quot;Ativar&quot;;&quot;Desativar&quot;"/>
    <numFmt numFmtId="211" formatCode="[$€-2]\ #,##0.00_);[Red]\([$€-2]\ #,##0.00\)"/>
    <numFmt numFmtId="212" formatCode="0.0000000000"/>
    <numFmt numFmtId="213" formatCode="_(&quot;R$ &quot;* #,##0.000_);_(&quot;R$ &quot;* \(#,##0.000\);_(&quot;R$ &quot;* &quot;-&quot;??_);_(@_)"/>
    <numFmt numFmtId="214" formatCode="_(&quot;R$ &quot;* #,##0.0000_);_(&quot;R$ &quot;* \(#,##0.0000\);_(&quot;R$ &quot;* &quot;-&quot;??_);_(@_)"/>
    <numFmt numFmtId="215" formatCode="_(* #,##0.00_);_(* \(#,##0.00\);_(* \-??_);_(@_)"/>
    <numFmt numFmtId="216" formatCode="_ * #,##0.00_ ;_ * \-#,##0.00_ ;_ * \-??_ ;_ @_ "/>
    <numFmt numFmtId="217" formatCode="[$-416]dddd\,\ d&quot; de &quot;mmmm&quot; de &quot;yyyy"/>
    <numFmt numFmtId="218" formatCode="[$-416]mmm\-yy;@"/>
    <numFmt numFmtId="219" formatCode="0.0"/>
  </numFmts>
  <fonts count="58">
    <font>
      <sz val="10"/>
      <name val="Arial"/>
      <family val="0"/>
    </font>
    <font>
      <sz val="10"/>
      <color indexed="8"/>
      <name val="Arial"/>
      <family val="2"/>
    </font>
    <font>
      <b/>
      <sz val="10"/>
      <color indexed="8"/>
      <name val="Arial"/>
      <family val="2"/>
    </font>
    <font>
      <b/>
      <sz val="11"/>
      <color indexed="8"/>
      <name val="Arial"/>
      <family val="2"/>
    </font>
    <font>
      <sz val="11"/>
      <color indexed="8"/>
      <name val="Arial"/>
      <family val="2"/>
    </font>
    <font>
      <b/>
      <sz val="9"/>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color indexed="8"/>
      <name val="Arial"/>
      <family val="2"/>
    </font>
    <font>
      <sz val="12"/>
      <name val="Arial"/>
      <family val="2"/>
    </font>
    <font>
      <b/>
      <sz val="8"/>
      <name val="Arial"/>
      <family val="2"/>
    </font>
    <font>
      <b/>
      <sz val="12"/>
      <name val="Arial"/>
      <family val="2"/>
    </font>
    <font>
      <b/>
      <i/>
      <sz val="8"/>
      <color indexed="8"/>
      <name val="Arial"/>
      <family val="2"/>
    </font>
    <font>
      <i/>
      <sz val="8"/>
      <color indexed="8"/>
      <name val="Arial"/>
      <family val="2"/>
    </font>
    <font>
      <i/>
      <sz val="8"/>
      <name val="Arial"/>
      <family val="2"/>
    </font>
    <font>
      <b/>
      <i/>
      <sz val="8"/>
      <name val="Arial"/>
      <family val="2"/>
    </font>
    <font>
      <b/>
      <i/>
      <sz val="10"/>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6" fillId="32" borderId="0" applyNumberFormat="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271">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2" fillId="33" borderId="0" xfId="0" applyFont="1" applyFill="1" applyBorder="1" applyAlignment="1">
      <alignment/>
    </xf>
    <xf numFmtId="0" fontId="0" fillId="33" borderId="0" xfId="0" applyFill="1" applyAlignment="1">
      <alignment/>
    </xf>
    <xf numFmtId="0" fontId="2" fillId="34" borderId="10" xfId="0" applyFont="1" applyFill="1" applyBorder="1" applyAlignment="1">
      <alignment/>
    </xf>
    <xf numFmtId="0" fontId="2" fillId="34" borderId="11" xfId="0" applyFont="1" applyFill="1" applyBorder="1" applyAlignment="1">
      <alignment/>
    </xf>
    <xf numFmtId="171" fontId="2" fillId="34" borderId="11" xfId="62" applyFont="1" applyFill="1" applyBorder="1" applyAlignment="1">
      <alignment/>
    </xf>
    <xf numFmtId="10" fontId="2" fillId="34" borderId="11" xfId="50" applyNumberFormat="1" applyFont="1" applyFill="1" applyBorder="1" applyAlignment="1">
      <alignment/>
    </xf>
    <xf numFmtId="0" fontId="1" fillId="34" borderId="12" xfId="0" applyFont="1" applyFill="1" applyBorder="1" applyAlignment="1">
      <alignment horizontal="left"/>
    </xf>
    <xf numFmtId="0" fontId="1" fillId="34" borderId="0" xfId="0" applyFont="1" applyFill="1" applyBorder="1" applyAlignment="1">
      <alignment/>
    </xf>
    <xf numFmtId="171" fontId="1" fillId="34" borderId="0" xfId="62" applyFont="1" applyFill="1" applyBorder="1" applyAlignment="1">
      <alignment/>
    </xf>
    <xf numFmtId="10" fontId="1" fillId="34" borderId="0" xfId="50" applyNumberFormat="1" applyFont="1" applyFill="1" applyBorder="1" applyAlignment="1">
      <alignment/>
    </xf>
    <xf numFmtId="0" fontId="1" fillId="34" borderId="12" xfId="0" applyFont="1" applyFill="1" applyBorder="1" applyAlignment="1">
      <alignment/>
    </xf>
    <xf numFmtId="0" fontId="6" fillId="33" borderId="12"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171" fontId="0" fillId="33" borderId="13" xfId="62"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171" fontId="6" fillId="33" borderId="14" xfId="62" applyFont="1" applyFill="1" applyBorder="1" applyAlignment="1">
      <alignment/>
    </xf>
    <xf numFmtId="0" fontId="0" fillId="34" borderId="15" xfId="0" applyFill="1" applyBorder="1" applyAlignment="1">
      <alignment/>
    </xf>
    <xf numFmtId="0" fontId="0" fillId="34" borderId="16" xfId="0" applyFill="1" applyBorder="1" applyAlignment="1">
      <alignment/>
    </xf>
    <xf numFmtId="171" fontId="6" fillId="33" borderId="17" xfId="62" applyFont="1" applyFill="1" applyBorder="1" applyAlignment="1">
      <alignment/>
    </xf>
    <xf numFmtId="0" fontId="6" fillId="33" borderId="18" xfId="0" applyFont="1" applyFill="1" applyBorder="1" applyAlignment="1">
      <alignment/>
    </xf>
    <xf numFmtId="171" fontId="6" fillId="33" borderId="14" xfId="62" applyFont="1" applyFill="1" applyBorder="1" applyAlignment="1">
      <alignment/>
    </xf>
    <xf numFmtId="171" fontId="6" fillId="33" borderId="13" xfId="62" applyFont="1" applyFill="1" applyBorder="1" applyAlignment="1">
      <alignment/>
    </xf>
    <xf numFmtId="171" fontId="6" fillId="33" borderId="12" xfId="62" applyFont="1" applyFill="1" applyBorder="1" applyAlignment="1">
      <alignment/>
    </xf>
    <xf numFmtId="0" fontId="0" fillId="33" borderId="0" xfId="0" applyFont="1" applyFill="1" applyBorder="1" applyAlignment="1">
      <alignment/>
    </xf>
    <xf numFmtId="171" fontId="0" fillId="33" borderId="13" xfId="62" applyFont="1" applyFill="1" applyBorder="1" applyAlignment="1">
      <alignment/>
    </xf>
    <xf numFmtId="171" fontId="0" fillId="33" borderId="12" xfId="62" applyFont="1" applyFill="1" applyBorder="1" applyAlignment="1">
      <alignment/>
    </xf>
    <xf numFmtId="171" fontId="6" fillId="33" borderId="19" xfId="62" applyFont="1" applyFill="1" applyBorder="1" applyAlignment="1">
      <alignment/>
    </xf>
    <xf numFmtId="171" fontId="6" fillId="33" borderId="20" xfId="62" applyFont="1" applyFill="1" applyBorder="1" applyAlignment="1">
      <alignment/>
    </xf>
    <xf numFmtId="0" fontId="11" fillId="34" borderId="0" xfId="0" applyFont="1" applyFill="1" applyBorder="1" applyAlignment="1">
      <alignment/>
    </xf>
    <xf numFmtId="171" fontId="11" fillId="34" borderId="0" xfId="62" applyFont="1" applyFill="1" applyBorder="1" applyAlignment="1">
      <alignment/>
    </xf>
    <xf numFmtId="171" fontId="0" fillId="34" borderId="21" xfId="62" applyFont="1" applyFill="1" applyBorder="1" applyAlignment="1">
      <alignment/>
    </xf>
    <xf numFmtId="0" fontId="0" fillId="34" borderId="0" xfId="0" applyFill="1" applyBorder="1" applyAlignment="1">
      <alignment/>
    </xf>
    <xf numFmtId="171" fontId="0" fillId="34" borderId="0" xfId="62" applyFont="1" applyFill="1" applyBorder="1" applyAlignment="1">
      <alignment/>
    </xf>
    <xf numFmtId="171" fontId="0" fillId="34" borderId="15" xfId="62" applyFont="1" applyFill="1" applyBorder="1" applyAlignment="1">
      <alignment/>
    </xf>
    <xf numFmtId="171" fontId="0" fillId="34" borderId="22" xfId="62" applyFont="1" applyFill="1" applyBorder="1" applyAlignment="1">
      <alignment/>
    </xf>
    <xf numFmtId="0" fontId="11" fillId="34" borderId="11" xfId="0" applyFont="1" applyFill="1" applyBorder="1" applyAlignment="1">
      <alignment/>
    </xf>
    <xf numFmtId="171" fontId="11" fillId="34" borderId="11" xfId="62" applyFont="1" applyFill="1" applyBorder="1" applyAlignment="1">
      <alignment/>
    </xf>
    <xf numFmtId="171" fontId="0" fillId="34" borderId="23" xfId="62" applyFont="1" applyFill="1" applyBorder="1" applyAlignment="1">
      <alignment/>
    </xf>
    <xf numFmtId="0" fontId="13" fillId="34" borderId="10" xfId="0" applyFont="1" applyFill="1" applyBorder="1" applyAlignment="1">
      <alignment horizontal="left"/>
    </xf>
    <xf numFmtId="0" fontId="6" fillId="34" borderId="12" xfId="0" applyFont="1" applyFill="1" applyBorder="1" applyAlignment="1">
      <alignment/>
    </xf>
    <xf numFmtId="201" fontId="6" fillId="33" borderId="19" xfId="62" applyNumberFormat="1" applyFont="1" applyFill="1" applyBorder="1" applyAlignment="1">
      <alignment horizontal="center"/>
    </xf>
    <xf numFmtId="201" fontId="12" fillId="33" borderId="15" xfId="62" applyNumberFormat="1" applyFont="1" applyFill="1" applyBorder="1" applyAlignment="1">
      <alignment horizontal="center"/>
    </xf>
    <xf numFmtId="0" fontId="2" fillId="34" borderId="12" xfId="0" applyFont="1" applyFill="1" applyBorder="1" applyAlignment="1">
      <alignment/>
    </xf>
    <xf numFmtId="0" fontId="6" fillId="33" borderId="12" xfId="0" applyFont="1" applyFill="1" applyBorder="1" applyAlignment="1">
      <alignment/>
    </xf>
    <xf numFmtId="0" fontId="6" fillId="33" borderId="0" xfId="0" applyFont="1" applyFill="1" applyBorder="1" applyAlignment="1">
      <alignment/>
    </xf>
    <xf numFmtId="0" fontId="2" fillId="33" borderId="0" xfId="0" applyFont="1" applyFill="1" applyBorder="1" applyAlignment="1">
      <alignment horizontal="left"/>
    </xf>
    <xf numFmtId="0" fontId="0" fillId="33" borderId="0" xfId="0" applyFont="1" applyFill="1" applyAlignment="1">
      <alignment/>
    </xf>
    <xf numFmtId="0" fontId="7" fillId="33" borderId="0" xfId="0" applyFont="1" applyFill="1" applyBorder="1" applyAlignment="1">
      <alignment/>
    </xf>
    <xf numFmtId="0" fontId="1" fillId="33" borderId="24" xfId="0" applyFont="1" applyFill="1" applyBorder="1" applyAlignment="1">
      <alignment/>
    </xf>
    <xf numFmtId="0" fontId="1" fillId="33" borderId="25" xfId="0" applyFont="1" applyFill="1" applyBorder="1" applyAlignment="1">
      <alignment/>
    </xf>
    <xf numFmtId="0" fontId="2" fillId="33" borderId="25" xfId="0" applyFont="1" applyFill="1" applyBorder="1" applyAlignment="1">
      <alignment/>
    </xf>
    <xf numFmtId="10" fontId="14" fillId="33" borderId="26" xfId="50" applyNumberFormat="1" applyFont="1" applyFill="1" applyBorder="1" applyAlignment="1">
      <alignment/>
    </xf>
    <xf numFmtId="10" fontId="15" fillId="33" borderId="26" xfId="50" applyNumberFormat="1" applyFont="1" applyFill="1" applyBorder="1" applyAlignment="1">
      <alignment/>
    </xf>
    <xf numFmtId="10" fontId="15" fillId="33" borderId="27" xfId="50" applyNumberFormat="1" applyFont="1" applyFill="1" applyBorder="1" applyAlignment="1">
      <alignment/>
    </xf>
    <xf numFmtId="10" fontId="15" fillId="33" borderId="28" xfId="50" applyNumberFormat="1" applyFont="1" applyFill="1" applyBorder="1" applyAlignment="1">
      <alignment/>
    </xf>
    <xf numFmtId="10" fontId="1" fillId="33" borderId="27" xfId="50" applyNumberFormat="1" applyFont="1" applyFill="1" applyBorder="1" applyAlignment="1">
      <alignment/>
    </xf>
    <xf numFmtId="0" fontId="0" fillId="33" borderId="24" xfId="0" applyFont="1" applyFill="1" applyBorder="1" applyAlignment="1">
      <alignment/>
    </xf>
    <xf numFmtId="171" fontId="0" fillId="35" borderId="26" xfId="62" applyFont="1" applyFill="1" applyBorder="1" applyAlignment="1">
      <alignment/>
    </xf>
    <xf numFmtId="171" fontId="6" fillId="35" borderId="26" xfId="62" applyFont="1" applyFill="1" applyBorder="1" applyAlignment="1">
      <alignment/>
    </xf>
    <xf numFmtId="10" fontId="17" fillId="33" borderId="29" xfId="50" applyNumberFormat="1" applyFont="1" applyFill="1" applyBorder="1" applyAlignment="1">
      <alignment horizontal="center"/>
    </xf>
    <xf numFmtId="10" fontId="17" fillId="33" borderId="29" xfId="50" applyNumberFormat="1" applyFont="1" applyFill="1" applyBorder="1" applyAlignment="1">
      <alignment/>
    </xf>
    <xf numFmtId="171" fontId="6" fillId="35" borderId="29" xfId="62" applyFont="1" applyFill="1" applyBorder="1" applyAlignment="1">
      <alignment/>
    </xf>
    <xf numFmtId="0" fontId="6" fillId="33" borderId="24" xfId="0" applyFont="1" applyFill="1" applyBorder="1" applyAlignment="1">
      <alignment/>
    </xf>
    <xf numFmtId="0" fontId="2" fillId="34" borderId="23" xfId="0" applyFont="1" applyFill="1" applyBorder="1" applyAlignment="1">
      <alignment/>
    </xf>
    <xf numFmtId="17" fontId="2" fillId="34" borderId="23" xfId="0" applyNumberFormat="1" applyFont="1" applyFill="1" applyBorder="1" applyAlignment="1">
      <alignment horizontal="center"/>
    </xf>
    <xf numFmtId="171" fontId="10" fillId="34" borderId="10" xfId="62" applyFont="1" applyFill="1" applyBorder="1" applyAlignment="1">
      <alignment horizontal="center"/>
    </xf>
    <xf numFmtId="0" fontId="2" fillId="34" borderId="16" xfId="0" applyFont="1" applyFill="1" applyBorder="1" applyAlignment="1">
      <alignment/>
    </xf>
    <xf numFmtId="0" fontId="2" fillId="34" borderId="15" xfId="0" applyFont="1" applyFill="1" applyBorder="1" applyAlignment="1">
      <alignment/>
    </xf>
    <xf numFmtId="0" fontId="2" fillId="34" borderId="22" xfId="0" applyFont="1" applyFill="1" applyBorder="1" applyAlignment="1">
      <alignment/>
    </xf>
    <xf numFmtId="0" fontId="6" fillId="34" borderId="16" xfId="0" applyFont="1" applyFill="1" applyBorder="1" applyAlignment="1">
      <alignment horizontal="center"/>
    </xf>
    <xf numFmtId="0" fontId="1" fillId="33" borderId="12" xfId="0" applyFont="1" applyFill="1" applyBorder="1" applyAlignment="1">
      <alignment/>
    </xf>
    <xf numFmtId="171" fontId="1" fillId="33" borderId="20" xfId="62" applyFont="1" applyFill="1" applyBorder="1" applyAlignment="1">
      <alignment/>
    </xf>
    <xf numFmtId="0" fontId="15" fillId="33" borderId="0" xfId="0" applyFont="1" applyFill="1" applyBorder="1" applyAlignment="1">
      <alignment/>
    </xf>
    <xf numFmtId="171" fontId="1" fillId="33" borderId="13" xfId="62" applyFont="1" applyFill="1" applyBorder="1" applyAlignment="1">
      <alignment/>
    </xf>
    <xf numFmtId="0" fontId="3" fillId="33" borderId="12" xfId="0" applyFont="1" applyFill="1" applyBorder="1" applyAlignment="1">
      <alignment/>
    </xf>
    <xf numFmtId="171" fontId="2" fillId="33" borderId="13" xfId="62" applyFont="1" applyFill="1" applyBorder="1" applyAlignment="1">
      <alignment/>
    </xf>
    <xf numFmtId="10" fontId="14" fillId="33" borderId="13" xfId="50" applyNumberFormat="1" applyFont="1" applyFill="1" applyBorder="1" applyAlignment="1">
      <alignment/>
    </xf>
    <xf numFmtId="171" fontId="0" fillId="0" borderId="0" xfId="0" applyNumberFormat="1" applyAlignment="1">
      <alignment/>
    </xf>
    <xf numFmtId="0" fontId="4" fillId="33" borderId="12" xfId="0" applyFont="1" applyFill="1" applyBorder="1" applyAlignment="1">
      <alignment/>
    </xf>
    <xf numFmtId="10" fontId="15" fillId="33" borderId="13" xfId="50" applyNumberFormat="1" applyFont="1" applyFill="1" applyBorder="1" applyAlignment="1">
      <alignment/>
    </xf>
    <xf numFmtId="0" fontId="2" fillId="33" borderId="12" xfId="0" applyFont="1" applyFill="1" applyBorder="1" applyAlignment="1">
      <alignment/>
    </xf>
    <xf numFmtId="171" fontId="55" fillId="33" borderId="13" xfId="62" applyFont="1" applyFill="1" applyBorder="1" applyAlignment="1">
      <alignment/>
    </xf>
    <xf numFmtId="0" fontId="15" fillId="33" borderId="11" xfId="0" applyFont="1" applyFill="1" applyBorder="1" applyAlignment="1">
      <alignment/>
    </xf>
    <xf numFmtId="0" fontId="14" fillId="33" borderId="0" xfId="0" applyFont="1" applyFill="1" applyBorder="1" applyAlignment="1">
      <alignment/>
    </xf>
    <xf numFmtId="9" fontId="14" fillId="33" borderId="13" xfId="50" applyFont="1" applyFill="1" applyBorder="1" applyAlignment="1">
      <alignment/>
    </xf>
    <xf numFmtId="9" fontId="15" fillId="33" borderId="0" xfId="50" applyFont="1" applyFill="1" applyBorder="1" applyAlignment="1">
      <alignment/>
    </xf>
    <xf numFmtId="9" fontId="15" fillId="33" borderId="13" xfId="50" applyFont="1" applyFill="1" applyBorder="1" applyAlignment="1">
      <alignment/>
    </xf>
    <xf numFmtId="0" fontId="1" fillId="33" borderId="16" xfId="0" applyFont="1" applyFill="1" applyBorder="1" applyAlignment="1">
      <alignment/>
    </xf>
    <xf numFmtId="0" fontId="1" fillId="33" borderId="15" xfId="0" applyFont="1" applyFill="1" applyBorder="1" applyAlignment="1">
      <alignment/>
    </xf>
    <xf numFmtId="171" fontId="1" fillId="33" borderId="19" xfId="62" applyFont="1" applyFill="1" applyBorder="1" applyAlignment="1">
      <alignment/>
    </xf>
    <xf numFmtId="0" fontId="15" fillId="33" borderId="15" xfId="0" applyFont="1" applyFill="1" applyBorder="1" applyAlignment="1">
      <alignment/>
    </xf>
    <xf numFmtId="43" fontId="0" fillId="0" borderId="0" xfId="0" applyNumberFormat="1" applyAlignment="1">
      <alignment/>
    </xf>
    <xf numFmtId="171" fontId="1" fillId="33" borderId="12" xfId="62" applyFont="1" applyFill="1" applyBorder="1" applyAlignment="1">
      <alignment/>
    </xf>
    <xf numFmtId="171" fontId="2" fillId="33" borderId="12" xfId="62" applyFont="1" applyFill="1" applyBorder="1" applyAlignment="1">
      <alignment/>
    </xf>
    <xf numFmtId="171" fontId="0" fillId="33" borderId="12" xfId="62" applyFont="1" applyFill="1" applyBorder="1" applyAlignment="1">
      <alignment/>
    </xf>
    <xf numFmtId="171" fontId="6" fillId="35" borderId="12" xfId="62" applyFont="1" applyFill="1" applyBorder="1" applyAlignment="1">
      <alignment/>
    </xf>
    <xf numFmtId="171" fontId="1" fillId="33" borderId="10" xfId="62" applyFont="1" applyFill="1" applyBorder="1" applyAlignment="1">
      <alignment/>
    </xf>
    <xf numFmtId="171" fontId="1" fillId="33" borderId="16" xfId="62" applyFont="1" applyFill="1" applyBorder="1" applyAlignment="1">
      <alignment/>
    </xf>
    <xf numFmtId="17" fontId="6" fillId="34" borderId="10" xfId="0" applyNumberFormat="1" applyFont="1" applyFill="1" applyBorder="1" applyAlignment="1">
      <alignment horizontal="center"/>
    </xf>
    <xf numFmtId="171" fontId="10" fillId="34" borderId="30" xfId="62" applyFont="1" applyFill="1" applyBorder="1" applyAlignment="1">
      <alignment/>
    </xf>
    <xf numFmtId="0" fontId="6" fillId="34" borderId="31" xfId="0" applyFont="1" applyFill="1" applyBorder="1" applyAlignment="1">
      <alignment horizontal="center"/>
    </xf>
    <xf numFmtId="10" fontId="17" fillId="35" borderId="25" xfId="50" applyNumberFormat="1" applyFont="1" applyFill="1" applyBorder="1" applyAlignment="1">
      <alignment/>
    </xf>
    <xf numFmtId="0" fontId="1" fillId="12" borderId="0" xfId="0" applyFont="1" applyFill="1" applyBorder="1" applyAlignment="1">
      <alignment/>
    </xf>
    <xf numFmtId="0" fontId="1" fillId="12" borderId="32" xfId="0" applyFont="1" applyFill="1" applyBorder="1" applyAlignment="1">
      <alignment/>
    </xf>
    <xf numFmtId="0" fontId="6" fillId="33" borderId="33" xfId="0" applyFont="1" applyFill="1" applyBorder="1" applyAlignment="1">
      <alignment/>
    </xf>
    <xf numFmtId="0" fontId="6" fillId="33" borderId="34" xfId="0" applyFont="1" applyFill="1" applyBorder="1" applyAlignment="1">
      <alignment/>
    </xf>
    <xf numFmtId="0" fontId="5" fillId="12" borderId="35" xfId="0" applyFont="1" applyFill="1" applyBorder="1" applyAlignment="1">
      <alignment/>
    </xf>
    <xf numFmtId="0" fontId="12" fillId="12" borderId="35" xfId="0" applyFont="1" applyFill="1" applyBorder="1" applyAlignment="1">
      <alignment/>
    </xf>
    <xf numFmtId="0" fontId="7" fillId="12" borderId="32" xfId="0" applyFont="1" applyFill="1" applyBorder="1" applyAlignment="1">
      <alignment/>
    </xf>
    <xf numFmtId="0" fontId="0" fillId="12" borderId="32" xfId="0" applyFont="1" applyFill="1" applyBorder="1" applyAlignment="1">
      <alignment/>
    </xf>
    <xf numFmtId="0" fontId="0" fillId="35" borderId="0" xfId="0" applyFont="1" applyFill="1" applyAlignment="1">
      <alignment/>
    </xf>
    <xf numFmtId="0" fontId="5" fillId="12" borderId="0" xfId="0" applyFont="1" applyFill="1" applyBorder="1" applyAlignment="1">
      <alignment/>
    </xf>
    <xf numFmtId="0" fontId="12" fillId="12" borderId="0" xfId="0" applyFont="1" applyFill="1" applyBorder="1" applyAlignment="1">
      <alignment/>
    </xf>
    <xf numFmtId="0" fontId="0" fillId="0" borderId="0" xfId="0" applyFont="1" applyAlignment="1">
      <alignment/>
    </xf>
    <xf numFmtId="0" fontId="6" fillId="0" borderId="29" xfId="0" applyFont="1" applyBorder="1" applyAlignment="1">
      <alignment horizontal="center" wrapText="1"/>
    </xf>
    <xf numFmtId="0" fontId="0" fillId="0" borderId="29" xfId="0" applyBorder="1" applyAlignment="1">
      <alignment/>
    </xf>
    <xf numFmtId="0" fontId="0" fillId="0" borderId="29" xfId="0" applyFont="1" applyBorder="1" applyAlignment="1">
      <alignment horizontal="center" wrapText="1"/>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55" fillId="0" borderId="0" xfId="0" applyFont="1" applyAlignment="1">
      <alignment/>
    </xf>
    <xf numFmtId="14" fontId="0" fillId="0" borderId="29" xfId="0" applyNumberFormat="1" applyBorder="1" applyAlignment="1">
      <alignment/>
    </xf>
    <xf numFmtId="0" fontId="0" fillId="0" borderId="29" xfId="0" applyFont="1" applyBorder="1" applyAlignment="1">
      <alignment/>
    </xf>
    <xf numFmtId="170" fontId="0" fillId="0" borderId="29" xfId="46" applyFont="1" applyBorder="1" applyAlignment="1">
      <alignment/>
    </xf>
    <xf numFmtId="0" fontId="6" fillId="36" borderId="29" xfId="0" applyFont="1" applyFill="1" applyBorder="1" applyAlignment="1">
      <alignment horizontal="center"/>
    </xf>
    <xf numFmtId="0" fontId="55" fillId="0" borderId="29" xfId="0" applyFont="1" applyBorder="1" applyAlignment="1">
      <alignment/>
    </xf>
    <xf numFmtId="0" fontId="13" fillId="0" borderId="0" xfId="0" applyFont="1" applyAlignment="1">
      <alignment/>
    </xf>
    <xf numFmtId="170" fontId="6" fillId="0" borderId="0" xfId="0" applyNumberFormat="1" applyFont="1" applyAlignment="1">
      <alignment/>
    </xf>
    <xf numFmtId="0" fontId="2" fillId="12" borderId="32" xfId="0" applyFont="1" applyFill="1" applyBorder="1" applyAlignment="1">
      <alignment/>
    </xf>
    <xf numFmtId="0" fontId="2" fillId="12" borderId="36" xfId="0" applyFont="1" applyFill="1" applyBorder="1" applyAlignment="1">
      <alignment/>
    </xf>
    <xf numFmtId="10" fontId="16" fillId="35" borderId="26" xfId="50" applyNumberFormat="1" applyFont="1" applyFill="1" applyBorder="1" applyAlignment="1">
      <alignment horizontal="center"/>
    </xf>
    <xf numFmtId="10" fontId="17" fillId="35" borderId="26" xfId="50" applyNumberFormat="1" applyFont="1" applyFill="1" applyBorder="1" applyAlignment="1">
      <alignment horizontal="center"/>
    </xf>
    <xf numFmtId="171" fontId="6" fillId="0" borderId="29" xfId="62" applyFont="1" applyFill="1" applyBorder="1" applyAlignment="1">
      <alignment/>
    </xf>
    <xf numFmtId="0" fontId="6" fillId="12" borderId="33" xfId="0" applyFont="1" applyFill="1" applyBorder="1" applyAlignment="1">
      <alignment/>
    </xf>
    <xf numFmtId="0" fontId="0" fillId="12" borderId="35" xfId="0" applyFont="1" applyFill="1" applyBorder="1" applyAlignment="1">
      <alignment/>
    </xf>
    <xf numFmtId="0" fontId="0" fillId="12" borderId="24" xfId="0" applyFont="1" applyFill="1" applyBorder="1" applyAlignment="1">
      <alignment horizontal="left"/>
    </xf>
    <xf numFmtId="0" fontId="0" fillId="12" borderId="0" xfId="0" applyFont="1" applyFill="1" applyBorder="1" applyAlignment="1">
      <alignment/>
    </xf>
    <xf numFmtId="0" fontId="5" fillId="12" borderId="37" xfId="0" applyFont="1" applyFill="1" applyBorder="1" applyAlignment="1">
      <alignment/>
    </xf>
    <xf numFmtId="0" fontId="5" fillId="12" borderId="32" xfId="0" applyFont="1" applyFill="1" applyBorder="1" applyAlignment="1">
      <alignment/>
    </xf>
    <xf numFmtId="0" fontId="0" fillId="12" borderId="24" xfId="0" applyFont="1" applyFill="1" applyBorder="1" applyAlignment="1">
      <alignment/>
    </xf>
    <xf numFmtId="0" fontId="5" fillId="33" borderId="34" xfId="0" applyFont="1" applyFill="1" applyBorder="1" applyAlignment="1">
      <alignment/>
    </xf>
    <xf numFmtId="0" fontId="5" fillId="33" borderId="38"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171" fontId="6" fillId="35" borderId="30" xfId="62" applyFont="1" applyFill="1" applyBorder="1" applyAlignment="1">
      <alignment/>
    </xf>
    <xf numFmtId="10" fontId="17" fillId="35" borderId="25" xfId="50" applyNumberFormat="1" applyFont="1" applyFill="1" applyBorder="1" applyAlignment="1">
      <alignment horizontal="center"/>
    </xf>
    <xf numFmtId="10" fontId="16" fillId="35" borderId="25" xfId="50" applyNumberFormat="1" applyFont="1" applyFill="1" applyBorder="1" applyAlignment="1">
      <alignment horizontal="center"/>
    </xf>
    <xf numFmtId="0" fontId="12" fillId="33" borderId="24" xfId="0" applyFont="1" applyFill="1" applyBorder="1" applyAlignment="1">
      <alignment/>
    </xf>
    <xf numFmtId="0" fontId="12" fillId="33" borderId="0" xfId="0" applyFont="1" applyFill="1" applyBorder="1" applyAlignment="1">
      <alignment/>
    </xf>
    <xf numFmtId="10" fontId="17" fillId="35" borderId="39" xfId="50" applyNumberFormat="1" applyFont="1" applyFill="1" applyBorder="1" applyAlignment="1">
      <alignment horizontal="center"/>
    </xf>
    <xf numFmtId="0" fontId="0" fillId="33" borderId="35" xfId="0" applyFont="1" applyFill="1" applyBorder="1" applyAlignment="1">
      <alignment/>
    </xf>
    <xf numFmtId="10" fontId="17" fillId="35" borderId="40" xfId="50" applyNumberFormat="1" applyFont="1" applyFill="1" applyBorder="1" applyAlignment="1">
      <alignment horizontal="center"/>
    </xf>
    <xf numFmtId="0" fontId="0" fillId="33" borderId="37" xfId="0" applyFont="1" applyFill="1" applyBorder="1" applyAlignment="1">
      <alignment/>
    </xf>
    <xf numFmtId="0" fontId="0" fillId="33" borderId="32" xfId="0" applyFont="1" applyFill="1" applyBorder="1" applyAlignment="1">
      <alignment/>
    </xf>
    <xf numFmtId="171" fontId="6" fillId="35" borderId="28" xfId="62" applyFont="1" applyFill="1" applyBorder="1" applyAlignment="1">
      <alignment/>
    </xf>
    <xf numFmtId="10" fontId="16" fillId="35" borderId="36" xfId="50" applyNumberFormat="1" applyFont="1" applyFill="1" applyBorder="1" applyAlignment="1">
      <alignment horizontal="center"/>
    </xf>
    <xf numFmtId="171" fontId="6" fillId="0" borderId="28" xfId="62" applyFont="1" applyFill="1" applyBorder="1" applyAlignment="1">
      <alignment/>
    </xf>
    <xf numFmtId="10" fontId="0" fillId="33" borderId="0" xfId="0" applyNumberFormat="1" applyFont="1" applyFill="1" applyAlignment="1">
      <alignment/>
    </xf>
    <xf numFmtId="10" fontId="12" fillId="12" borderId="35" xfId="0" applyNumberFormat="1" applyFont="1" applyFill="1" applyBorder="1" applyAlignment="1">
      <alignment/>
    </xf>
    <xf numFmtId="10" fontId="12" fillId="12" borderId="0" xfId="0" applyNumberFormat="1" applyFont="1" applyFill="1" applyBorder="1" applyAlignment="1">
      <alignment/>
    </xf>
    <xf numFmtId="10" fontId="7" fillId="12" borderId="32" xfId="0" applyNumberFormat="1" applyFont="1" applyFill="1" applyBorder="1" applyAlignment="1">
      <alignment/>
    </xf>
    <xf numFmtId="10" fontId="17" fillId="12" borderId="26" xfId="0" applyNumberFormat="1" applyFont="1" applyFill="1" applyBorder="1" applyAlignment="1">
      <alignment horizontal="center"/>
    </xf>
    <xf numFmtId="10" fontId="6" fillId="35" borderId="29" xfId="50" applyNumberFormat="1" applyFont="1" applyFill="1" applyBorder="1" applyAlignment="1">
      <alignment/>
    </xf>
    <xf numFmtId="10" fontId="0" fillId="35" borderId="0" xfId="0" applyNumberFormat="1" applyFont="1" applyFill="1" applyAlignment="1">
      <alignment/>
    </xf>
    <xf numFmtId="0" fontId="16" fillId="33" borderId="26" xfId="0" applyFont="1" applyFill="1" applyBorder="1" applyAlignment="1">
      <alignment horizontal="center"/>
    </xf>
    <xf numFmtId="171" fontId="6" fillId="0" borderId="26" xfId="62" applyFont="1" applyFill="1" applyBorder="1" applyAlignment="1">
      <alignment/>
    </xf>
    <xf numFmtId="171" fontId="0" fillId="0" borderId="26" xfId="62" applyFont="1" applyFill="1" applyBorder="1" applyAlignment="1">
      <alignment/>
    </xf>
    <xf numFmtId="0" fontId="17" fillId="33" borderId="26" xfId="0" applyFont="1" applyFill="1" applyBorder="1" applyAlignment="1">
      <alignment horizontal="center"/>
    </xf>
    <xf numFmtId="43" fontId="0" fillId="33" borderId="0" xfId="0" applyNumberFormat="1" applyFont="1" applyFill="1" applyAlignment="1">
      <alignment/>
    </xf>
    <xf numFmtId="10" fontId="12" fillId="12" borderId="40" xfId="0" applyNumberFormat="1" applyFont="1" applyFill="1" applyBorder="1" applyAlignment="1">
      <alignment/>
    </xf>
    <xf numFmtId="10" fontId="12" fillId="12" borderId="25" xfId="0" applyNumberFormat="1" applyFont="1" applyFill="1" applyBorder="1" applyAlignment="1">
      <alignment/>
    </xf>
    <xf numFmtId="171" fontId="56" fillId="35" borderId="26" xfId="62" applyFont="1" applyFill="1" applyBorder="1" applyAlignment="1">
      <alignment/>
    </xf>
    <xf numFmtId="171" fontId="57" fillId="35" borderId="26" xfId="62" applyFont="1" applyFill="1" applyBorder="1" applyAlignment="1">
      <alignment/>
    </xf>
    <xf numFmtId="17" fontId="5" fillId="12" borderId="28" xfId="0" applyNumberFormat="1" applyFont="1" applyFill="1" applyBorder="1" applyAlignment="1">
      <alignment horizontal="center" vertical="center"/>
    </xf>
    <xf numFmtId="171" fontId="17" fillId="12" borderId="28" xfId="62" applyFont="1" applyFill="1" applyBorder="1" applyAlignment="1">
      <alignment horizontal="center" vertical="center"/>
    </xf>
    <xf numFmtId="17" fontId="6" fillId="12" borderId="26" xfId="0" applyNumberFormat="1" applyFont="1" applyFill="1" applyBorder="1" applyAlignment="1">
      <alignment horizontal="center"/>
    </xf>
    <xf numFmtId="171" fontId="56" fillId="0" borderId="26" xfId="62" applyFont="1" applyFill="1" applyBorder="1" applyAlignment="1">
      <alignment/>
    </xf>
    <xf numFmtId="171" fontId="0" fillId="35" borderId="0" xfId="62" applyFont="1" applyFill="1" applyAlignment="1">
      <alignment/>
    </xf>
    <xf numFmtId="10" fontId="17" fillId="12" borderId="28" xfId="0" applyNumberFormat="1" applyFont="1" applyFill="1" applyBorder="1" applyAlignment="1">
      <alignment horizontal="center"/>
    </xf>
    <xf numFmtId="43" fontId="6" fillId="35" borderId="29" xfId="62" applyNumberFormat="1" applyFont="1" applyFill="1" applyBorder="1" applyAlignment="1">
      <alignment/>
    </xf>
    <xf numFmtId="43" fontId="0" fillId="33" borderId="0" xfId="0" applyNumberFormat="1" applyFill="1" applyAlignment="1">
      <alignment/>
    </xf>
    <xf numFmtId="171" fontId="0" fillId="33" borderId="0" xfId="0" applyNumberFormat="1" applyFill="1" applyAlignment="1">
      <alignment/>
    </xf>
    <xf numFmtId="10" fontId="17" fillId="35" borderId="0" xfId="50" applyNumberFormat="1" applyFont="1" applyFill="1" applyBorder="1" applyAlignment="1">
      <alignment horizontal="center"/>
    </xf>
    <xf numFmtId="10" fontId="17" fillId="35" borderId="0" xfId="50" applyNumberFormat="1" applyFont="1" applyFill="1" applyBorder="1" applyAlignment="1">
      <alignment/>
    </xf>
    <xf numFmtId="10" fontId="16" fillId="35" borderId="0" xfId="50" applyNumberFormat="1" applyFont="1" applyFill="1" applyBorder="1" applyAlignment="1">
      <alignment horizontal="center"/>
    </xf>
    <xf numFmtId="10" fontId="6" fillId="12" borderId="35" xfId="0" applyNumberFormat="1" applyFont="1" applyFill="1" applyBorder="1" applyAlignment="1">
      <alignment/>
    </xf>
    <xf numFmtId="10" fontId="6" fillId="12" borderId="0" xfId="0" applyNumberFormat="1" applyFont="1" applyFill="1" applyBorder="1" applyAlignment="1">
      <alignment/>
    </xf>
    <xf numFmtId="171" fontId="6" fillId="12" borderId="29" xfId="62" applyFont="1" applyFill="1" applyBorder="1" applyAlignment="1">
      <alignment/>
    </xf>
    <xf numFmtId="10" fontId="17" fillId="12" borderId="29" xfId="50" applyNumberFormat="1" applyFont="1" applyFill="1" applyBorder="1" applyAlignment="1">
      <alignment/>
    </xf>
    <xf numFmtId="10" fontId="18" fillId="12" borderId="30" xfId="50" applyNumberFormat="1" applyFont="1" applyFill="1" applyBorder="1" applyAlignment="1">
      <alignment/>
    </xf>
    <xf numFmtId="10" fontId="17" fillId="12" borderId="25" xfId="50" applyNumberFormat="1" applyFont="1" applyFill="1" applyBorder="1" applyAlignment="1">
      <alignment/>
    </xf>
    <xf numFmtId="171" fontId="6" fillId="12" borderId="26" xfId="62" applyFont="1" applyFill="1" applyBorder="1" applyAlignment="1">
      <alignment/>
    </xf>
    <xf numFmtId="10" fontId="17" fillId="12" borderId="25" xfId="50" applyNumberFormat="1" applyFont="1" applyFill="1" applyBorder="1" applyAlignment="1">
      <alignment horizontal="center"/>
    </xf>
    <xf numFmtId="10" fontId="19" fillId="12" borderId="26" xfId="50" applyNumberFormat="1" applyFont="1" applyFill="1" applyBorder="1" applyAlignment="1">
      <alignment horizontal="center"/>
    </xf>
    <xf numFmtId="10" fontId="16" fillId="12" borderId="25" xfId="50" applyNumberFormat="1" applyFont="1" applyFill="1" applyBorder="1" applyAlignment="1">
      <alignment horizontal="center"/>
    </xf>
    <xf numFmtId="171" fontId="19" fillId="12" borderId="26" xfId="50" applyNumberFormat="1" applyFont="1" applyFill="1" applyBorder="1" applyAlignment="1">
      <alignment horizontal="center"/>
    </xf>
    <xf numFmtId="10" fontId="19" fillId="12" borderId="28" xfId="50" applyNumberFormat="1" applyFont="1" applyFill="1" applyBorder="1" applyAlignment="1">
      <alignment horizontal="center"/>
    </xf>
    <xf numFmtId="10" fontId="6" fillId="12" borderId="29" xfId="50" applyNumberFormat="1" applyFont="1" applyFill="1" applyBorder="1" applyAlignment="1">
      <alignment/>
    </xf>
    <xf numFmtId="10" fontId="18" fillId="12" borderId="26" xfId="50" applyNumberFormat="1" applyFont="1" applyFill="1" applyBorder="1" applyAlignment="1">
      <alignment horizontal="center"/>
    </xf>
    <xf numFmtId="10" fontId="17" fillId="12" borderId="26" xfId="50" applyNumberFormat="1" applyFont="1" applyFill="1" applyBorder="1" applyAlignment="1">
      <alignment horizontal="center"/>
    </xf>
    <xf numFmtId="171" fontId="0" fillId="12" borderId="26" xfId="62" applyFont="1" applyFill="1" applyBorder="1" applyAlignment="1">
      <alignment/>
    </xf>
    <xf numFmtId="10" fontId="16" fillId="12" borderId="26" xfId="50" applyNumberFormat="1" applyFont="1" applyFill="1" applyBorder="1" applyAlignment="1">
      <alignment horizontal="center"/>
    </xf>
    <xf numFmtId="171" fontId="19" fillId="12" borderId="26" xfId="62" applyFont="1" applyFill="1" applyBorder="1" applyAlignment="1">
      <alignment horizontal="center"/>
    </xf>
    <xf numFmtId="10" fontId="17" fillId="12" borderId="39" xfId="50" applyNumberFormat="1" applyFont="1" applyFill="1" applyBorder="1" applyAlignment="1">
      <alignment horizontal="center"/>
    </xf>
    <xf numFmtId="10" fontId="18" fillId="12" borderId="40" xfId="50" applyNumberFormat="1" applyFont="1" applyFill="1" applyBorder="1" applyAlignment="1">
      <alignment horizontal="center"/>
    </xf>
    <xf numFmtId="10" fontId="17" fillId="12" borderId="40" xfId="50" applyNumberFormat="1" applyFont="1" applyFill="1" applyBorder="1" applyAlignment="1">
      <alignment horizontal="center"/>
    </xf>
    <xf numFmtId="10" fontId="18" fillId="12" borderId="25" xfId="50" applyNumberFormat="1" applyFont="1" applyFill="1" applyBorder="1" applyAlignment="1">
      <alignment horizontal="center"/>
    </xf>
    <xf numFmtId="171" fontId="19" fillId="12" borderId="25" xfId="62" applyFont="1" applyFill="1" applyBorder="1" applyAlignment="1">
      <alignment horizontal="center"/>
    </xf>
    <xf numFmtId="10" fontId="19" fillId="12" borderId="25" xfId="50" applyNumberFormat="1" applyFont="1" applyFill="1" applyBorder="1" applyAlignment="1">
      <alignment horizontal="center"/>
    </xf>
    <xf numFmtId="10" fontId="19" fillId="12" borderId="36" xfId="50" applyNumberFormat="1" applyFont="1" applyFill="1" applyBorder="1" applyAlignment="1">
      <alignment horizontal="center"/>
    </xf>
    <xf numFmtId="10" fontId="16" fillId="12" borderId="36" xfId="50" applyNumberFormat="1" applyFont="1" applyFill="1" applyBorder="1" applyAlignment="1">
      <alignment horizontal="center"/>
    </xf>
    <xf numFmtId="171" fontId="6" fillId="12" borderId="28" xfId="62" applyFont="1" applyFill="1" applyBorder="1" applyAlignment="1">
      <alignment/>
    </xf>
    <xf numFmtId="10" fontId="17" fillId="12" borderId="29" xfId="50" applyNumberFormat="1" applyFont="1" applyFill="1" applyBorder="1" applyAlignment="1">
      <alignment horizontal="center"/>
    </xf>
    <xf numFmtId="10" fontId="18" fillId="12" borderId="37" xfId="0" applyNumberFormat="1" applyFont="1" applyFill="1" applyBorder="1" applyAlignment="1">
      <alignment/>
    </xf>
    <xf numFmtId="171" fontId="6" fillId="33" borderId="26" xfId="0" applyNumberFormat="1" applyFont="1" applyFill="1" applyBorder="1" applyAlignment="1">
      <alignment/>
    </xf>
    <xf numFmtId="2" fontId="0" fillId="33" borderId="0" xfId="0" applyNumberFormat="1" applyFont="1" applyFill="1" applyAlignment="1">
      <alignment/>
    </xf>
    <xf numFmtId="171" fontId="0" fillId="33" borderId="0" xfId="62" applyFont="1" applyFill="1" applyBorder="1" applyAlignment="1">
      <alignment/>
    </xf>
    <xf numFmtId="171" fontId="0" fillId="35" borderId="0" xfId="62" applyFont="1" applyFill="1" applyBorder="1" applyAlignment="1">
      <alignment/>
    </xf>
    <xf numFmtId="0" fontId="16" fillId="33" borderId="0" xfId="0" applyFont="1" applyFill="1" applyBorder="1" applyAlignment="1">
      <alignment horizontal="center"/>
    </xf>
    <xf numFmtId="0" fontId="2" fillId="12" borderId="10" xfId="0" applyFont="1" applyFill="1" applyBorder="1" applyAlignment="1">
      <alignment/>
    </xf>
    <xf numFmtId="0" fontId="2" fillId="12" borderId="11" xfId="0" applyFont="1" applyFill="1" applyBorder="1" applyAlignment="1">
      <alignment/>
    </xf>
    <xf numFmtId="0" fontId="6" fillId="12" borderId="11" xfId="0" applyFont="1" applyFill="1" applyBorder="1" applyAlignment="1">
      <alignment/>
    </xf>
    <xf numFmtId="0" fontId="6" fillId="12" borderId="23" xfId="0" applyFont="1" applyFill="1" applyBorder="1" applyAlignment="1">
      <alignment/>
    </xf>
    <xf numFmtId="0" fontId="2" fillId="12" borderId="12" xfId="0" applyFont="1" applyFill="1" applyBorder="1" applyAlignment="1">
      <alignment horizontal="left"/>
    </xf>
    <xf numFmtId="0" fontId="0" fillId="12" borderId="21" xfId="0" applyFont="1" applyFill="1" applyBorder="1" applyAlignment="1">
      <alignment/>
    </xf>
    <xf numFmtId="0" fontId="2" fillId="12" borderId="41" xfId="0" applyFont="1" applyFill="1" applyBorder="1" applyAlignment="1">
      <alignment/>
    </xf>
    <xf numFmtId="0" fontId="0" fillId="12" borderId="42" xfId="0" applyFont="1" applyFill="1" applyBorder="1" applyAlignment="1">
      <alignment/>
    </xf>
    <xf numFmtId="171" fontId="17" fillId="12" borderId="43" xfId="62" applyFont="1" applyFill="1" applyBorder="1" applyAlignment="1">
      <alignment horizontal="center" vertical="center"/>
    </xf>
    <xf numFmtId="0" fontId="16" fillId="33" borderId="44" xfId="0" applyFont="1" applyFill="1" applyBorder="1" applyAlignment="1">
      <alignment horizontal="center"/>
    </xf>
    <xf numFmtId="10" fontId="17" fillId="35" borderId="44" xfId="50" applyNumberFormat="1" applyFont="1" applyFill="1" applyBorder="1" applyAlignment="1">
      <alignment horizontal="center"/>
    </xf>
    <xf numFmtId="10" fontId="16" fillId="35" borderId="44" xfId="50" applyNumberFormat="1" applyFont="1" applyFill="1" applyBorder="1" applyAlignment="1">
      <alignment horizontal="center"/>
    </xf>
    <xf numFmtId="0" fontId="1" fillId="33" borderId="45" xfId="0" applyFont="1" applyFill="1" applyBorder="1" applyAlignment="1">
      <alignment/>
    </xf>
    <xf numFmtId="171" fontId="0" fillId="35" borderId="31" xfId="62" applyFont="1" applyFill="1" applyBorder="1" applyAlignment="1">
      <alignment/>
    </xf>
    <xf numFmtId="10" fontId="16" fillId="35" borderId="31" xfId="50" applyNumberFormat="1" applyFont="1" applyFill="1" applyBorder="1" applyAlignment="1">
      <alignment horizontal="center"/>
    </xf>
    <xf numFmtId="10" fontId="16" fillId="35" borderId="46" xfId="50" applyNumberFormat="1" applyFont="1" applyFill="1" applyBorder="1" applyAlignment="1">
      <alignment horizontal="center"/>
    </xf>
    <xf numFmtId="0" fontId="17" fillId="33" borderId="44" xfId="0" applyFont="1" applyFill="1" applyBorder="1" applyAlignment="1">
      <alignment horizontal="center"/>
    </xf>
    <xf numFmtId="0" fontId="0" fillId="33" borderId="12" xfId="0" applyFill="1" applyBorder="1" applyAlignment="1">
      <alignment/>
    </xf>
    <xf numFmtId="171" fontId="6" fillId="33" borderId="0" xfId="0" applyNumberFormat="1" applyFont="1" applyFill="1" applyBorder="1" applyAlignment="1">
      <alignment/>
    </xf>
    <xf numFmtId="0" fontId="16" fillId="33" borderId="31" xfId="0" applyFont="1" applyFill="1" applyBorder="1" applyAlignment="1">
      <alignment horizontal="center"/>
    </xf>
    <xf numFmtId="0" fontId="16" fillId="33" borderId="46" xfId="0" applyFont="1" applyFill="1" applyBorder="1" applyAlignment="1">
      <alignment horizontal="center"/>
    </xf>
    <xf numFmtId="171" fontId="0" fillId="35" borderId="30" xfId="62" applyFont="1" applyFill="1" applyBorder="1" applyAlignment="1">
      <alignment/>
    </xf>
    <xf numFmtId="10" fontId="17" fillId="12" borderId="36" xfId="0" applyNumberFormat="1" applyFont="1" applyFill="1" applyBorder="1" applyAlignment="1">
      <alignment horizontal="center"/>
    </xf>
    <xf numFmtId="0" fontId="0" fillId="35" borderId="0" xfId="0" applyFont="1" applyFill="1" applyBorder="1" applyAlignment="1">
      <alignment/>
    </xf>
    <xf numFmtId="10" fontId="0" fillId="33" borderId="0" xfId="0" applyNumberFormat="1" applyFont="1" applyFill="1" applyBorder="1" applyAlignment="1">
      <alignment/>
    </xf>
    <xf numFmtId="10" fontId="7" fillId="12" borderId="36" xfId="0" applyNumberFormat="1" applyFont="1" applyFill="1" applyBorder="1" applyAlignment="1">
      <alignment/>
    </xf>
    <xf numFmtId="10" fontId="17" fillId="35" borderId="29" xfId="50" applyNumberFormat="1" applyFont="1" applyFill="1" applyBorder="1" applyAlignment="1">
      <alignment horizontal="center"/>
    </xf>
    <xf numFmtId="10" fontId="17" fillId="12" borderId="39" xfId="50" applyNumberFormat="1" applyFont="1" applyFill="1" applyBorder="1" applyAlignment="1">
      <alignment/>
    </xf>
    <xf numFmtId="171" fontId="6" fillId="12" borderId="30" xfId="62" applyFont="1" applyFill="1" applyBorder="1" applyAlignment="1">
      <alignment/>
    </xf>
    <xf numFmtId="171" fontId="57" fillId="12" borderId="26" xfId="62" applyFont="1" applyFill="1" applyBorder="1" applyAlignment="1">
      <alignment/>
    </xf>
    <xf numFmtId="171" fontId="56" fillId="12" borderId="26" xfId="62" applyFont="1" applyFill="1" applyBorder="1" applyAlignment="1">
      <alignment/>
    </xf>
    <xf numFmtId="43" fontId="6" fillId="12" borderId="29" xfId="62" applyNumberFormat="1" applyFont="1" applyFill="1" applyBorder="1" applyAlignment="1">
      <alignment/>
    </xf>
    <xf numFmtId="10" fontId="6" fillId="12" borderId="39" xfId="50" applyNumberFormat="1" applyFont="1" applyFill="1" applyBorder="1" applyAlignment="1">
      <alignment/>
    </xf>
    <xf numFmtId="17" fontId="5" fillId="12" borderId="29" xfId="0" applyNumberFormat="1" applyFont="1" applyFill="1" applyBorder="1" applyAlignment="1">
      <alignment horizontal="center" vertical="center"/>
    </xf>
    <xf numFmtId="0" fontId="55" fillId="0" borderId="24" xfId="0" applyFont="1" applyBorder="1" applyAlignment="1">
      <alignment horizontal="left" wrapText="1"/>
    </xf>
    <xf numFmtId="0" fontId="55" fillId="0" borderId="0" xfId="0" applyFont="1" applyAlignment="1">
      <alignment horizontal="left" wrapText="1"/>
    </xf>
    <xf numFmtId="0" fontId="55" fillId="0" borderId="24" xfId="0" applyFont="1" applyFill="1" applyBorder="1" applyAlignment="1">
      <alignment horizontal="left" wrapText="1"/>
    </xf>
    <xf numFmtId="0" fontId="55" fillId="0" borderId="0" xfId="0" applyFont="1" applyFill="1" applyAlignment="1">
      <alignment horizontal="left" wrapText="1"/>
    </xf>
    <xf numFmtId="0" fontId="55" fillId="0" borderId="24" xfId="0" applyFont="1" applyFill="1" applyBorder="1" applyAlignment="1">
      <alignment horizontal="left"/>
    </xf>
    <xf numFmtId="0" fontId="55" fillId="0" borderId="0" xfId="0" applyFont="1" applyFill="1" applyAlignment="1">
      <alignment horizontal="left"/>
    </xf>
    <xf numFmtId="0" fontId="2" fillId="33" borderId="0" xfId="0" applyFont="1" applyFill="1" applyBorder="1" applyAlignment="1">
      <alignment horizontal="left"/>
    </xf>
    <xf numFmtId="0" fontId="2" fillId="33" borderId="21" xfId="0" applyFont="1" applyFill="1" applyBorder="1" applyAlignment="1">
      <alignment horizontal="left"/>
    </xf>
    <xf numFmtId="0" fontId="13" fillId="0" borderId="0" xfId="0" applyFont="1" applyAlignment="1">
      <alignment horizontal="center"/>
    </xf>
    <xf numFmtId="0" fontId="6" fillId="33" borderId="0" xfId="0" applyFont="1" applyFill="1" applyBorder="1" applyAlignment="1">
      <alignment/>
    </xf>
    <xf numFmtId="10" fontId="18" fillId="12" borderId="32" xfId="0" applyNumberFormat="1" applyFont="1" applyFill="1" applyBorder="1" applyAlignment="1">
      <alignment horizontal="center"/>
    </xf>
    <xf numFmtId="0" fontId="0" fillId="33" borderId="0" xfId="0" applyFont="1" applyFill="1" applyBorder="1" applyAlignment="1">
      <alignment horizontal="lef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4"/>
  <sheetViews>
    <sheetView zoomScalePageLayoutView="0" workbookViewId="0" topLeftCell="A1">
      <selection activeCell="E33" sqref="E33"/>
    </sheetView>
  </sheetViews>
  <sheetFormatPr defaultColWidth="9.140625" defaultRowHeight="12.75"/>
  <cols>
    <col min="4" max="4" width="4.8515625" style="0" customWidth="1"/>
    <col min="5" max="5" width="17.00390625" style="0" customWidth="1"/>
    <col min="6" max="6" width="22.140625" style="0" bestFit="1" customWidth="1"/>
    <col min="7" max="7" width="19.57421875" style="0" customWidth="1"/>
  </cols>
  <sheetData>
    <row r="1" spans="1:7" ht="15.75">
      <c r="A1" s="44" t="s">
        <v>47</v>
      </c>
      <c r="B1" s="41"/>
      <c r="C1" s="41"/>
      <c r="D1" s="41"/>
      <c r="E1" s="42"/>
      <c r="F1" s="42"/>
      <c r="G1" s="43"/>
    </row>
    <row r="2" spans="1:7" ht="18" customHeight="1">
      <c r="A2" s="48" t="s">
        <v>25</v>
      </c>
      <c r="B2" s="34"/>
      <c r="C2" s="34"/>
      <c r="D2" s="34"/>
      <c r="E2" s="35"/>
      <c r="F2" s="35"/>
      <c r="G2" s="36"/>
    </row>
    <row r="3" spans="1:7" ht="18" customHeight="1">
      <c r="A3" s="45" t="s">
        <v>42</v>
      </c>
      <c r="B3" s="37"/>
      <c r="C3" s="37"/>
      <c r="D3" s="37"/>
      <c r="E3" s="38"/>
      <c r="F3" s="38"/>
      <c r="G3" s="36"/>
    </row>
    <row r="4" spans="1:7" ht="13.5" thickBot="1">
      <c r="A4" s="23"/>
      <c r="B4" s="22"/>
      <c r="C4" s="22"/>
      <c r="D4" s="22"/>
      <c r="E4" s="39"/>
      <c r="F4" s="39"/>
      <c r="G4" s="40"/>
    </row>
    <row r="5" spans="1:7" ht="13.5" thickBot="1">
      <c r="A5" s="15" t="s">
        <v>0</v>
      </c>
      <c r="B5" s="19"/>
      <c r="C5" s="19"/>
      <c r="D5" s="19"/>
      <c r="E5" s="47" t="s">
        <v>43</v>
      </c>
      <c r="F5" s="47" t="s">
        <v>48</v>
      </c>
      <c r="G5" s="46" t="s">
        <v>39</v>
      </c>
    </row>
    <row r="6" spans="1:7" ht="13.5" thickBot="1">
      <c r="A6" s="24" t="s">
        <v>40</v>
      </c>
      <c r="B6" s="25"/>
      <c r="C6" s="25"/>
      <c r="D6" s="25"/>
      <c r="E6" s="21">
        <v>0</v>
      </c>
      <c r="F6" s="21">
        <v>5421.22</v>
      </c>
      <c r="G6" s="26">
        <f>+E6+F6</f>
        <v>5421.22</v>
      </c>
    </row>
    <row r="7" spans="1:7" ht="12.75">
      <c r="A7" s="15"/>
      <c r="B7" s="20"/>
      <c r="C7" s="20"/>
      <c r="D7" s="20"/>
      <c r="E7" s="27"/>
      <c r="F7" s="28"/>
      <c r="G7" s="27"/>
    </row>
    <row r="8" spans="1:7" ht="12.75">
      <c r="A8" s="49" t="s">
        <v>49</v>
      </c>
      <c r="B8" s="50"/>
      <c r="C8" s="29"/>
      <c r="D8" s="29"/>
      <c r="E8" s="30"/>
      <c r="F8" s="31">
        <v>0</v>
      </c>
      <c r="G8" s="18">
        <f aca="true" t="shared" si="0" ref="G8:G13">SUM(D8:F8)</f>
        <v>0</v>
      </c>
    </row>
    <row r="9" spans="1:7" ht="12.75">
      <c r="A9" s="16" t="s">
        <v>50</v>
      </c>
      <c r="B9" s="29"/>
      <c r="C9" s="29"/>
      <c r="D9" s="29"/>
      <c r="E9" s="30">
        <v>45000</v>
      </c>
      <c r="F9" s="31"/>
      <c r="G9" s="18">
        <f t="shared" si="0"/>
        <v>45000</v>
      </c>
    </row>
    <row r="10" spans="1:7" ht="12.75">
      <c r="A10" s="16"/>
      <c r="B10" s="29"/>
      <c r="C10" s="29"/>
      <c r="D10" s="29"/>
      <c r="E10" s="30"/>
      <c r="F10" s="31"/>
      <c r="G10" s="18">
        <f t="shared" si="0"/>
        <v>0</v>
      </c>
    </row>
    <row r="11" spans="1:7" ht="12.75">
      <c r="A11" s="49" t="s">
        <v>44</v>
      </c>
      <c r="B11" s="50"/>
      <c r="C11" s="29"/>
      <c r="D11" s="29"/>
      <c r="E11" s="30"/>
      <c r="F11" s="31"/>
      <c r="G11" s="18">
        <f t="shared" si="0"/>
        <v>0</v>
      </c>
    </row>
    <row r="12" spans="1:7" ht="12.75">
      <c r="A12" s="16" t="s">
        <v>46</v>
      </c>
      <c r="B12" s="29"/>
      <c r="C12" s="29"/>
      <c r="D12" s="29"/>
      <c r="E12" s="30"/>
      <c r="F12" s="31">
        <v>116249.6</v>
      </c>
      <c r="G12" s="18">
        <f t="shared" si="0"/>
        <v>116249.6</v>
      </c>
    </row>
    <row r="13" spans="1:7" ht="12.75">
      <c r="A13" s="16"/>
      <c r="B13" s="29"/>
      <c r="C13" s="29"/>
      <c r="D13" s="29"/>
      <c r="E13" s="30"/>
      <c r="F13" s="31"/>
      <c r="G13" s="18">
        <f t="shared" si="0"/>
        <v>0</v>
      </c>
    </row>
    <row r="14" spans="1:7" ht="13.5" thickBot="1">
      <c r="A14" s="16"/>
      <c r="B14" s="29"/>
      <c r="C14" s="29"/>
      <c r="D14" s="29"/>
      <c r="E14" s="30"/>
      <c r="F14" s="31"/>
      <c r="G14" s="32"/>
    </row>
    <row r="15" spans="1:7" ht="13.5" thickBot="1">
      <c r="A15" s="24" t="s">
        <v>40</v>
      </c>
      <c r="B15" s="25"/>
      <c r="C15" s="25"/>
      <c r="D15" s="25"/>
      <c r="E15" s="26">
        <f>SUM(E6:E14)</f>
        <v>45000</v>
      </c>
      <c r="F15" s="24">
        <f>+F6+F9</f>
        <v>5421.22</v>
      </c>
      <c r="G15" s="26">
        <f>SUM(G6:G14)</f>
        <v>166670.82</v>
      </c>
    </row>
    <row r="16" spans="1:7" ht="12.75">
      <c r="A16" s="15"/>
      <c r="B16" s="20"/>
      <c r="C16" s="20"/>
      <c r="D16" s="20"/>
      <c r="E16" s="27"/>
      <c r="F16" s="28"/>
      <c r="G16" s="33"/>
    </row>
    <row r="17" spans="1:7" ht="12.75">
      <c r="A17" s="49" t="s">
        <v>49</v>
      </c>
      <c r="B17" s="50"/>
      <c r="C17" s="29"/>
      <c r="D17" s="29"/>
      <c r="E17" s="30"/>
      <c r="F17" s="31"/>
      <c r="G17" s="18">
        <f>SUM(D17:F17)</f>
        <v>0</v>
      </c>
    </row>
    <row r="18" spans="1:7" ht="12.75">
      <c r="A18" s="16" t="s">
        <v>50</v>
      </c>
      <c r="B18" s="29"/>
      <c r="C18" s="29"/>
      <c r="D18" s="29"/>
      <c r="E18" s="30"/>
      <c r="G18" s="18">
        <f>SUM(D18:F18)</f>
        <v>0</v>
      </c>
    </row>
    <row r="19" spans="1:7" ht="12.75">
      <c r="A19" s="16"/>
      <c r="B19" s="29"/>
      <c r="C19" s="29"/>
      <c r="D19" s="29"/>
      <c r="E19" s="30"/>
      <c r="F19" s="31"/>
      <c r="G19" s="18">
        <f>SUM(D19:F19)</f>
        <v>0</v>
      </c>
    </row>
    <row r="20" spans="1:7" ht="12.75">
      <c r="A20" s="49" t="s">
        <v>44</v>
      </c>
      <c r="B20" s="50"/>
      <c r="C20" s="29"/>
      <c r="D20" s="29"/>
      <c r="E20" s="30"/>
      <c r="F20" s="31"/>
      <c r="G20" s="18">
        <f>SUM(D20:F20)</f>
        <v>0</v>
      </c>
    </row>
    <row r="21" spans="1:7" ht="12.75">
      <c r="A21" s="16" t="s">
        <v>45</v>
      </c>
      <c r="B21" s="29"/>
      <c r="C21" s="29"/>
      <c r="D21" s="29"/>
      <c r="E21" s="30"/>
      <c r="F21" s="31">
        <v>236326.53</v>
      </c>
      <c r="G21" s="18">
        <f>SUM(D21:F21)</f>
        <v>236326.53</v>
      </c>
    </row>
    <row r="22" spans="1:7" ht="12.75">
      <c r="A22" s="16"/>
      <c r="B22" s="29"/>
      <c r="C22" s="29"/>
      <c r="D22" s="29"/>
      <c r="E22" s="30"/>
      <c r="F22" s="31"/>
      <c r="G22" s="27"/>
    </row>
    <row r="23" spans="1:7" ht="13.5" thickBot="1">
      <c r="A23" s="15"/>
      <c r="B23" s="20"/>
      <c r="C23" s="20"/>
      <c r="D23" s="20"/>
      <c r="E23" s="27"/>
      <c r="F23" s="28"/>
      <c r="G23" s="32">
        <f>SUM(D23:F23)</f>
        <v>0</v>
      </c>
    </row>
    <row r="24" spans="1:7" ht="13.5" thickBot="1">
      <c r="A24" s="24" t="s">
        <v>41</v>
      </c>
      <c r="B24" s="25"/>
      <c r="C24" s="25"/>
      <c r="D24" s="25"/>
      <c r="E24" s="26">
        <f>+E17+E15</f>
        <v>45000</v>
      </c>
      <c r="F24" s="24">
        <f>+F15+F21</f>
        <v>241747.75</v>
      </c>
      <c r="G24" s="26">
        <f>SUM(G15:G23)</f>
        <v>402997.35</v>
      </c>
    </row>
  </sheetData>
  <sheetProtection/>
  <printOptions/>
  <pageMargins left="0.787401575" right="0.787401575" top="0.984251969" bottom="0.984251969"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O26"/>
  <sheetViews>
    <sheetView zoomScalePageLayoutView="0" workbookViewId="0" topLeftCell="A7">
      <selection activeCell="D9" sqref="D9:O9"/>
    </sheetView>
  </sheetViews>
  <sheetFormatPr defaultColWidth="9.140625" defaultRowHeight="12.75"/>
  <cols>
    <col min="2" max="2" width="24.421875" style="0" customWidth="1"/>
    <col min="3" max="3" width="38.140625" style="0" customWidth="1"/>
    <col min="15" max="15" width="11.28125" style="0" customWidth="1"/>
  </cols>
  <sheetData>
    <row r="2" spans="2:4" ht="12.75">
      <c r="B2" s="120" t="s">
        <v>135</v>
      </c>
      <c r="C2" s="121"/>
      <c r="D2" s="126" t="s">
        <v>159</v>
      </c>
    </row>
    <row r="3" spans="2:15" ht="39.75" customHeight="1">
      <c r="B3" s="120" t="s">
        <v>136</v>
      </c>
      <c r="C3" s="122" t="s">
        <v>137</v>
      </c>
      <c r="D3" s="259" t="s">
        <v>160</v>
      </c>
      <c r="E3" s="260"/>
      <c r="F3" s="260"/>
      <c r="G3" s="260"/>
      <c r="H3" s="260"/>
      <c r="I3" s="260"/>
      <c r="J3" s="260"/>
      <c r="K3" s="260"/>
      <c r="L3" s="260"/>
      <c r="M3" s="260"/>
      <c r="N3" s="260"/>
      <c r="O3" s="260"/>
    </row>
    <row r="4" spans="2:15" ht="41.25" customHeight="1">
      <c r="B4" s="123" t="s">
        <v>138</v>
      </c>
      <c r="C4" s="122" t="s">
        <v>139</v>
      </c>
      <c r="D4" s="259" t="s">
        <v>169</v>
      </c>
      <c r="E4" s="260"/>
      <c r="F4" s="260"/>
      <c r="G4" s="260"/>
      <c r="H4" s="260"/>
      <c r="I4" s="260"/>
      <c r="J4" s="260"/>
      <c r="K4" s="260"/>
      <c r="L4" s="260"/>
      <c r="M4" s="260"/>
      <c r="N4" s="260"/>
      <c r="O4" s="260"/>
    </row>
    <row r="5" spans="2:15" ht="51.75" customHeight="1">
      <c r="B5" s="123" t="s">
        <v>115</v>
      </c>
      <c r="C5" s="125" t="s">
        <v>141</v>
      </c>
      <c r="D5" s="259" t="s">
        <v>161</v>
      </c>
      <c r="E5" s="260"/>
      <c r="F5" s="260"/>
      <c r="G5" s="260"/>
      <c r="H5" s="260"/>
      <c r="I5" s="260"/>
      <c r="J5" s="260"/>
      <c r="K5" s="260"/>
      <c r="L5" s="260"/>
      <c r="M5" s="260"/>
      <c r="N5" s="260"/>
      <c r="O5" s="260"/>
    </row>
    <row r="6" spans="2:15" ht="38.25" customHeight="1">
      <c r="B6" s="123" t="s">
        <v>142</v>
      </c>
      <c r="C6" s="122" t="s">
        <v>143</v>
      </c>
      <c r="D6" s="259" t="s">
        <v>170</v>
      </c>
      <c r="E6" s="260"/>
      <c r="F6" s="260"/>
      <c r="G6" s="260"/>
      <c r="H6" s="260"/>
      <c r="I6" s="260"/>
      <c r="J6" s="260"/>
      <c r="K6" s="260"/>
      <c r="L6" s="260"/>
      <c r="M6" s="260"/>
      <c r="N6" s="260"/>
      <c r="O6" s="260"/>
    </row>
    <row r="7" spans="2:4" ht="25.5">
      <c r="B7" s="124" t="s">
        <v>144</v>
      </c>
      <c r="C7" s="125" t="s">
        <v>145</v>
      </c>
      <c r="D7" s="126" t="s">
        <v>162</v>
      </c>
    </row>
    <row r="8" spans="2:4" ht="12.75">
      <c r="B8" s="123" t="s">
        <v>146</v>
      </c>
      <c r="C8" s="122" t="s">
        <v>147</v>
      </c>
      <c r="D8" s="126" t="s">
        <v>163</v>
      </c>
    </row>
    <row r="9" spans="2:15" ht="25.5">
      <c r="B9" s="123" t="s">
        <v>148</v>
      </c>
      <c r="C9" s="122" t="s">
        <v>149</v>
      </c>
      <c r="D9" s="263" t="s">
        <v>164</v>
      </c>
      <c r="E9" s="264"/>
      <c r="F9" s="264"/>
      <c r="G9" s="264"/>
      <c r="H9" s="264"/>
      <c r="I9" s="264"/>
      <c r="J9" s="264"/>
      <c r="K9" s="264"/>
      <c r="L9" s="264"/>
      <c r="M9" s="264"/>
      <c r="N9" s="264"/>
      <c r="O9" s="264"/>
    </row>
    <row r="10" spans="2:15" ht="25.5">
      <c r="B10" s="124" t="s">
        <v>150</v>
      </c>
      <c r="C10" s="125" t="s">
        <v>151</v>
      </c>
      <c r="D10" s="261" t="s">
        <v>201</v>
      </c>
      <c r="E10" s="262"/>
      <c r="F10" s="262"/>
      <c r="G10" s="262"/>
      <c r="H10" s="262"/>
      <c r="I10" s="262"/>
      <c r="J10" s="262"/>
      <c r="K10" s="262"/>
      <c r="L10" s="262"/>
      <c r="M10" s="262"/>
      <c r="N10" s="262"/>
      <c r="O10" s="262"/>
    </row>
    <row r="11" spans="2:4" ht="25.5">
      <c r="B11" s="124" t="s">
        <v>152</v>
      </c>
      <c r="C11" s="125" t="s">
        <v>153</v>
      </c>
      <c r="D11" s="126" t="s">
        <v>165</v>
      </c>
    </row>
    <row r="12" spans="2:15" ht="38.25">
      <c r="B12" s="124" t="s">
        <v>154</v>
      </c>
      <c r="C12" s="125" t="s">
        <v>155</v>
      </c>
      <c r="D12" s="259" t="s">
        <v>166</v>
      </c>
      <c r="E12" s="260"/>
      <c r="F12" s="260"/>
      <c r="G12" s="260"/>
      <c r="H12" s="260"/>
      <c r="I12" s="260"/>
      <c r="J12" s="260"/>
      <c r="K12" s="260"/>
      <c r="L12" s="260"/>
      <c r="M12" s="260"/>
      <c r="N12" s="260"/>
      <c r="O12" s="260"/>
    </row>
    <row r="13" spans="2:15" ht="52.5" customHeight="1">
      <c r="B13" s="124" t="s">
        <v>156</v>
      </c>
      <c r="C13" s="125" t="s">
        <v>157</v>
      </c>
      <c r="D13" s="259" t="s">
        <v>167</v>
      </c>
      <c r="E13" s="260"/>
      <c r="F13" s="260"/>
      <c r="G13" s="260"/>
      <c r="H13" s="260"/>
      <c r="I13" s="260"/>
      <c r="J13" s="260"/>
      <c r="K13" s="260"/>
      <c r="L13" s="260"/>
      <c r="M13" s="260"/>
      <c r="N13" s="260"/>
      <c r="O13" s="260"/>
    </row>
    <row r="14" spans="2:15" ht="38.25">
      <c r="B14" s="124" t="s">
        <v>158</v>
      </c>
      <c r="C14" s="125" t="s">
        <v>153</v>
      </c>
      <c r="D14" s="259" t="s">
        <v>168</v>
      </c>
      <c r="E14" s="260"/>
      <c r="F14" s="260"/>
      <c r="G14" s="260"/>
      <c r="H14" s="260"/>
      <c r="I14" s="260"/>
      <c r="J14" s="260"/>
      <c r="K14" s="260"/>
      <c r="L14" s="260"/>
      <c r="M14" s="260"/>
      <c r="N14" s="260"/>
      <c r="O14" s="260"/>
    </row>
    <row r="26" ht="12.75">
      <c r="N26" s="119" t="s">
        <v>140</v>
      </c>
    </row>
  </sheetData>
  <sheetProtection/>
  <mergeCells count="9">
    <mergeCell ref="D13:O13"/>
    <mergeCell ref="D14:O14"/>
    <mergeCell ref="D4:O4"/>
    <mergeCell ref="D3:O3"/>
    <mergeCell ref="D5:O5"/>
    <mergeCell ref="D6:O6"/>
    <mergeCell ref="D10:O10"/>
    <mergeCell ref="D9:O9"/>
    <mergeCell ref="D12:O12"/>
  </mergeCells>
  <printOptions/>
  <pageMargins left="0.511811024" right="0.511811024" top="0.787401575" bottom="0.787401575" header="0.31496062" footer="0.31496062"/>
  <pageSetup orientation="portrait" paperSize="9" r:id="rId1"/>
</worksheet>
</file>

<file path=xl/worksheets/sheet3.xml><?xml version="1.0" encoding="utf-8"?>
<worksheet xmlns="http://schemas.openxmlformats.org/spreadsheetml/2006/main" xmlns:r="http://schemas.openxmlformats.org/officeDocument/2006/relationships">
  <dimension ref="A1:K107"/>
  <sheetViews>
    <sheetView zoomScalePageLayoutView="0" workbookViewId="0" topLeftCell="A1">
      <selection activeCell="H4" sqref="H4:H104"/>
    </sheetView>
  </sheetViews>
  <sheetFormatPr defaultColWidth="9.140625" defaultRowHeight="12.75"/>
  <cols>
    <col min="2" max="2" width="3.28125" style="0" customWidth="1"/>
    <col min="3" max="3" width="3.00390625" style="0" customWidth="1"/>
    <col min="4" max="4" width="33.57421875" style="0" customWidth="1"/>
    <col min="5" max="5" width="12.8515625" style="0" bestFit="1" customWidth="1"/>
    <col min="6" max="6" width="7.421875" style="0" customWidth="1"/>
    <col min="7" max="7" width="12.8515625" style="0" bestFit="1" customWidth="1"/>
    <col min="8" max="8" width="10.421875" style="0" customWidth="1"/>
    <col min="10" max="10" width="9.28125" style="0" bestFit="1" customWidth="1"/>
    <col min="11" max="11" width="9.8515625" style="0" bestFit="1" customWidth="1"/>
  </cols>
  <sheetData>
    <row r="1" spans="1:8" ht="12.75">
      <c r="A1" s="6" t="s">
        <v>55</v>
      </c>
      <c r="B1" s="7"/>
      <c r="C1" s="7"/>
      <c r="D1" s="7"/>
      <c r="E1" s="7"/>
      <c r="F1" s="7"/>
      <c r="G1" s="8"/>
      <c r="H1" s="9"/>
    </row>
    <row r="2" spans="1:8" ht="12.75">
      <c r="A2" s="10" t="s">
        <v>117</v>
      </c>
      <c r="B2" s="11"/>
      <c r="C2" s="11"/>
      <c r="D2" s="11"/>
      <c r="E2" s="11"/>
      <c r="F2" s="11"/>
      <c r="G2" s="12"/>
      <c r="H2" s="13"/>
    </row>
    <row r="3" spans="1:8" ht="13.5" thickBot="1">
      <c r="A3" s="14" t="s">
        <v>27</v>
      </c>
      <c r="B3" s="11"/>
      <c r="C3" s="11"/>
      <c r="D3" s="11"/>
      <c r="E3" s="11"/>
      <c r="F3" s="11"/>
      <c r="G3" s="12"/>
      <c r="H3" s="13"/>
    </row>
    <row r="4" spans="1:8" ht="12.75">
      <c r="A4" s="6"/>
      <c r="B4" s="7"/>
      <c r="C4" s="7"/>
      <c r="D4" s="69"/>
      <c r="E4" s="70">
        <v>41091</v>
      </c>
      <c r="F4" s="71" t="s">
        <v>38</v>
      </c>
      <c r="G4" s="104">
        <v>39995</v>
      </c>
      <c r="H4" s="105" t="s">
        <v>38</v>
      </c>
    </row>
    <row r="5" spans="1:8" ht="13.5" thickBot="1">
      <c r="A5" s="72" t="s">
        <v>0</v>
      </c>
      <c r="B5" s="73"/>
      <c r="C5" s="73"/>
      <c r="D5" s="74"/>
      <c r="E5" s="74"/>
      <c r="F5" s="75" t="s">
        <v>1</v>
      </c>
      <c r="G5" s="75"/>
      <c r="H5" s="106" t="s">
        <v>1</v>
      </c>
    </row>
    <row r="6" spans="1:8" ht="12.75">
      <c r="A6" s="76"/>
      <c r="B6" s="1"/>
      <c r="C6" s="1"/>
      <c r="D6" s="1"/>
      <c r="E6" s="77"/>
      <c r="F6" s="78"/>
      <c r="G6" s="98"/>
      <c r="H6" s="61"/>
    </row>
    <row r="7" spans="1:10" ht="15">
      <c r="A7" s="80" t="s">
        <v>2</v>
      </c>
      <c r="B7" s="4"/>
      <c r="C7" s="4"/>
      <c r="D7" s="4"/>
      <c r="E7" s="81">
        <f>E9+E31</f>
        <v>2887432.9699999997</v>
      </c>
      <c r="F7" s="82">
        <f>+E7/E$7</f>
        <v>1</v>
      </c>
      <c r="G7" s="99">
        <f>G9+G31</f>
        <v>1904008.8400000003</v>
      </c>
      <c r="H7" s="57">
        <f>+G7/G$7</f>
        <v>1</v>
      </c>
      <c r="J7" s="83">
        <f>+G7-1904008.84</f>
        <v>0</v>
      </c>
    </row>
    <row r="8" spans="1:8" ht="14.25">
      <c r="A8" s="84"/>
      <c r="B8" s="1"/>
      <c r="C8" s="1"/>
      <c r="D8" s="1"/>
      <c r="E8" s="79"/>
      <c r="F8" s="78"/>
      <c r="G8" s="100"/>
      <c r="H8" s="58"/>
    </row>
    <row r="9" spans="1:11" ht="12.75">
      <c r="A9" s="76"/>
      <c r="B9" s="4" t="s">
        <v>3</v>
      </c>
      <c r="C9" s="4"/>
      <c r="D9" s="4"/>
      <c r="E9" s="81">
        <f>E11+E16+E24+E27</f>
        <v>291143.24</v>
      </c>
      <c r="F9" s="82">
        <f>+E9/E$7</f>
        <v>0.10083116838552966</v>
      </c>
      <c r="G9" s="101">
        <f>G11+G16+G24+G27</f>
        <v>280865.57</v>
      </c>
      <c r="H9" s="57">
        <f>+G9/G$7</f>
        <v>0.14751274474124815</v>
      </c>
      <c r="K9" s="83">
        <f>+G9-280865.57</f>
        <v>0</v>
      </c>
    </row>
    <row r="10" spans="1:8" ht="12.75">
      <c r="A10" s="76"/>
      <c r="B10" s="1"/>
      <c r="C10" s="1"/>
      <c r="D10" s="1"/>
      <c r="E10" s="79"/>
      <c r="F10" s="78"/>
      <c r="G10" s="100"/>
      <c r="H10" s="58"/>
    </row>
    <row r="11" spans="1:8" ht="12.75">
      <c r="A11" s="76"/>
      <c r="B11" s="1"/>
      <c r="C11" s="1" t="s">
        <v>4</v>
      </c>
      <c r="D11" s="1"/>
      <c r="E11" s="81">
        <f>E12+E13+E14</f>
        <v>-94914.34999999999</v>
      </c>
      <c r="F11" s="82">
        <f>+E11/E$7</f>
        <v>-0.032871533637714195</v>
      </c>
      <c r="G11" s="101">
        <f>SUM(G12:G14)</f>
        <v>46960.4</v>
      </c>
      <c r="H11" s="58">
        <f>+G11/G$7</f>
        <v>0.024663961119004044</v>
      </c>
    </row>
    <row r="12" spans="1:10" ht="12.75">
      <c r="A12" s="76"/>
      <c r="B12" s="1"/>
      <c r="C12" s="1"/>
      <c r="D12" s="1" t="s">
        <v>104</v>
      </c>
      <c r="E12" s="79">
        <v>8742.8</v>
      </c>
      <c r="F12" s="85">
        <f aca="true" t="shared" si="0" ref="F12:F29">+E12/E$7</f>
        <v>0.003027879812565831</v>
      </c>
      <c r="G12" s="100">
        <v>7385.82</v>
      </c>
      <c r="H12" s="58">
        <f>+G12/G$7</f>
        <v>0.003879089132800454</v>
      </c>
      <c r="J12" s="83">
        <f>+E9-291143.24</f>
        <v>0</v>
      </c>
    </row>
    <row r="13" spans="1:8" ht="12.75">
      <c r="A13" s="76"/>
      <c r="B13" s="1"/>
      <c r="C13" s="1"/>
      <c r="D13" s="1" t="s">
        <v>5</v>
      </c>
      <c r="E13" s="79">
        <f>-106657.15-50</f>
        <v>-106707.15</v>
      </c>
      <c r="F13" s="85">
        <f t="shared" si="0"/>
        <v>-0.03695571502738642</v>
      </c>
      <c r="G13" s="100">
        <f>39574.58-G14</f>
        <v>39524.58</v>
      </c>
      <c r="H13" s="58">
        <f>+G13/G$7</f>
        <v>0.020758611603925115</v>
      </c>
    </row>
    <row r="14" spans="1:8" ht="12.75">
      <c r="A14" s="76"/>
      <c r="B14" s="1"/>
      <c r="C14" s="1"/>
      <c r="D14" s="1" t="s">
        <v>118</v>
      </c>
      <c r="E14" s="79">
        <f>50+3000</f>
        <v>3050</v>
      </c>
      <c r="F14" s="85">
        <f t="shared" si="0"/>
        <v>0.0010563015771063943</v>
      </c>
      <c r="G14" s="100">
        <v>50</v>
      </c>
      <c r="H14" s="58">
        <f>+G14/G$7</f>
        <v>2.626038227847723E-05</v>
      </c>
    </row>
    <row r="15" spans="1:8" ht="12.75">
      <c r="A15" s="76"/>
      <c r="B15" s="1"/>
      <c r="C15" s="1"/>
      <c r="D15" s="1"/>
      <c r="E15" s="79"/>
      <c r="F15" s="85"/>
      <c r="G15" s="100"/>
      <c r="H15" s="58"/>
    </row>
    <row r="16" spans="1:8" ht="12.75">
      <c r="A16" s="76"/>
      <c r="B16" s="1"/>
      <c r="C16" s="1" t="s">
        <v>7</v>
      </c>
      <c r="D16" s="1"/>
      <c r="E16" s="81">
        <f>SUM(E17:E22)</f>
        <v>198818.33</v>
      </c>
      <c r="F16" s="82">
        <f>+E16/E$7</f>
        <v>0.06885643132349493</v>
      </c>
      <c r="G16" s="101">
        <f>SUM(G17:G22)</f>
        <v>226237.16999999998</v>
      </c>
      <c r="H16" s="58">
        <f>+G16/G$7</f>
        <v>0.1188214913960168</v>
      </c>
    </row>
    <row r="17" spans="1:8" ht="12.75">
      <c r="A17" s="76"/>
      <c r="B17" s="1"/>
      <c r="C17" s="1"/>
      <c r="D17" s="1" t="s">
        <v>51</v>
      </c>
      <c r="E17" s="79">
        <v>6679.56</v>
      </c>
      <c r="F17" s="85">
        <f t="shared" si="0"/>
        <v>0.00231332123356616</v>
      </c>
      <c r="G17" s="100">
        <v>0</v>
      </c>
      <c r="H17" s="58">
        <v>0</v>
      </c>
    </row>
    <row r="18" spans="1:8" ht="12.75">
      <c r="A18" s="76"/>
      <c r="B18" s="1"/>
      <c r="C18" s="1"/>
      <c r="D18" s="1" t="s">
        <v>57</v>
      </c>
      <c r="E18" s="79">
        <v>33358.32</v>
      </c>
      <c r="F18" s="85">
        <f t="shared" si="0"/>
        <v>0.011552933123154025</v>
      </c>
      <c r="G18" s="100">
        <v>12707.62</v>
      </c>
      <c r="H18" s="58">
        <v>0</v>
      </c>
    </row>
    <row r="19" spans="1:8" ht="12.75">
      <c r="A19" s="76"/>
      <c r="B19" s="1"/>
      <c r="C19" s="1"/>
      <c r="D19" s="1" t="s">
        <v>95</v>
      </c>
      <c r="E19" s="79"/>
      <c r="F19" s="85"/>
      <c r="G19" s="100">
        <v>0</v>
      </c>
      <c r="H19" s="58">
        <v>0</v>
      </c>
    </row>
    <row r="20" spans="1:8" ht="12.75">
      <c r="A20" s="76"/>
      <c r="B20" s="1"/>
      <c r="C20" s="1"/>
      <c r="D20" s="1" t="s">
        <v>56</v>
      </c>
      <c r="E20" s="79">
        <v>89679.14</v>
      </c>
      <c r="F20" s="85">
        <f t="shared" si="0"/>
        <v>0.031058431808375454</v>
      </c>
      <c r="G20" s="100">
        <v>72471.04</v>
      </c>
      <c r="H20" s="58">
        <v>0</v>
      </c>
    </row>
    <row r="21" spans="1:8" ht="12.75">
      <c r="A21" s="76"/>
      <c r="B21" s="1"/>
      <c r="C21" s="1"/>
      <c r="D21" s="1" t="s">
        <v>58</v>
      </c>
      <c r="E21" s="79">
        <v>0</v>
      </c>
      <c r="F21" s="85">
        <f t="shared" si="0"/>
        <v>0</v>
      </c>
      <c r="G21" s="100">
        <v>1065.7</v>
      </c>
      <c r="H21" s="58">
        <v>0</v>
      </c>
    </row>
    <row r="22" spans="1:8" ht="12.75">
      <c r="A22" s="76"/>
      <c r="B22" s="1"/>
      <c r="C22" s="1"/>
      <c r="D22" s="1" t="s">
        <v>59</v>
      </c>
      <c r="E22" s="79">
        <v>69101.31</v>
      </c>
      <c r="F22" s="85">
        <f t="shared" si="0"/>
        <v>0.023931745158399298</v>
      </c>
      <c r="G22" s="100">
        <v>139992.81</v>
      </c>
      <c r="H22" s="58">
        <v>0</v>
      </c>
    </row>
    <row r="23" spans="1:8" ht="12.75">
      <c r="A23" s="76"/>
      <c r="B23" s="1"/>
      <c r="C23" s="1"/>
      <c r="D23" s="1"/>
      <c r="E23" s="79"/>
      <c r="F23" s="85"/>
      <c r="G23" s="100"/>
      <c r="H23" s="58">
        <v>0</v>
      </c>
    </row>
    <row r="24" spans="1:8" ht="12.75">
      <c r="A24" s="76"/>
      <c r="B24" s="1"/>
      <c r="C24" s="1" t="s">
        <v>60</v>
      </c>
      <c r="D24" s="1"/>
      <c r="E24" s="81">
        <f>E25</f>
        <v>187239.26</v>
      </c>
      <c r="F24" s="82">
        <f>+E24/E$7</f>
        <v>0.06484627069974892</v>
      </c>
      <c r="G24" s="101">
        <f>+G25</f>
        <v>0</v>
      </c>
      <c r="H24" s="58">
        <v>0</v>
      </c>
    </row>
    <row r="25" spans="1:8" ht="12.75">
      <c r="A25" s="76"/>
      <c r="B25" s="1"/>
      <c r="C25" s="1"/>
      <c r="D25" s="1" t="s">
        <v>61</v>
      </c>
      <c r="E25" s="79">
        <v>187239.26</v>
      </c>
      <c r="F25" s="85">
        <f t="shared" si="0"/>
        <v>0.06484627069974892</v>
      </c>
      <c r="G25" s="100">
        <v>0</v>
      </c>
      <c r="H25" s="58">
        <v>0</v>
      </c>
    </row>
    <row r="26" spans="1:8" ht="12.75">
      <c r="A26" s="76"/>
      <c r="B26" s="1"/>
      <c r="C26" s="1"/>
      <c r="D26" s="1"/>
      <c r="E26" s="79"/>
      <c r="F26" s="85"/>
      <c r="G26" s="100">
        <v>0</v>
      </c>
      <c r="H26" s="58">
        <v>0</v>
      </c>
    </row>
    <row r="27" spans="1:8" ht="12.75">
      <c r="A27" s="76"/>
      <c r="B27" s="1"/>
      <c r="C27" s="1" t="s">
        <v>62</v>
      </c>
      <c r="D27" s="1"/>
      <c r="E27" s="81">
        <f>E29</f>
        <v>0</v>
      </c>
      <c r="F27" s="85">
        <f t="shared" si="0"/>
        <v>0</v>
      </c>
      <c r="G27" s="100">
        <f>SUM(G28:G29)</f>
        <v>7668</v>
      </c>
      <c r="H27" s="58">
        <v>0</v>
      </c>
    </row>
    <row r="28" spans="1:8" ht="12.75">
      <c r="A28" s="76"/>
      <c r="B28" s="1"/>
      <c r="C28" s="1"/>
      <c r="D28" s="1" t="s">
        <v>63</v>
      </c>
      <c r="E28" s="79"/>
      <c r="F28" s="85"/>
      <c r="G28" s="100">
        <v>7668</v>
      </c>
      <c r="H28" s="58">
        <v>0</v>
      </c>
    </row>
    <row r="29" spans="1:8" ht="12.75">
      <c r="A29" s="76"/>
      <c r="B29" s="1"/>
      <c r="C29" s="1"/>
      <c r="D29" s="1" t="s">
        <v>64</v>
      </c>
      <c r="E29" s="79">
        <v>0</v>
      </c>
      <c r="F29" s="85">
        <f t="shared" si="0"/>
        <v>0</v>
      </c>
      <c r="G29" s="100"/>
      <c r="H29" s="58">
        <v>0</v>
      </c>
    </row>
    <row r="30" spans="1:8" ht="12.75">
      <c r="A30" s="76"/>
      <c r="B30" s="1"/>
      <c r="C30" s="1"/>
      <c r="D30" s="1"/>
      <c r="E30" s="79"/>
      <c r="F30" s="85"/>
      <c r="G30" s="100"/>
      <c r="H30" s="58"/>
    </row>
    <row r="31" spans="1:8" ht="12.75">
      <c r="A31" s="86"/>
      <c r="B31" s="4" t="s">
        <v>8</v>
      </c>
      <c r="C31" s="4"/>
      <c r="D31" s="4"/>
      <c r="E31" s="81">
        <f>E35+E42+E69</f>
        <v>2596289.73</v>
      </c>
      <c r="F31" s="82">
        <f>+E31/E$7</f>
        <v>0.8991688316144704</v>
      </c>
      <c r="G31" s="101">
        <f>+G35+G42+G69+G33</f>
        <v>1623143.2700000003</v>
      </c>
      <c r="H31" s="57">
        <f>+G31/G$7</f>
        <v>0.8524872552587518</v>
      </c>
    </row>
    <row r="32" spans="1:8" ht="12.75">
      <c r="A32" s="76"/>
      <c r="B32" s="1"/>
      <c r="C32" s="1"/>
      <c r="D32" s="1"/>
      <c r="E32" s="79"/>
      <c r="F32" s="85"/>
      <c r="G32" s="100"/>
      <c r="H32" s="58"/>
    </row>
    <row r="33" spans="1:8" ht="12.75">
      <c r="A33" s="76"/>
      <c r="B33" s="1"/>
      <c r="C33" s="1" t="s">
        <v>64</v>
      </c>
      <c r="D33" s="1"/>
      <c r="E33" s="79"/>
      <c r="F33" s="85"/>
      <c r="G33" s="100">
        <v>246.04</v>
      </c>
      <c r="H33" s="58">
        <v>0</v>
      </c>
    </row>
    <row r="34" spans="1:8" ht="12.75">
      <c r="A34" s="76"/>
      <c r="B34" s="1"/>
      <c r="C34" s="1"/>
      <c r="D34" s="1"/>
      <c r="E34" s="79"/>
      <c r="F34" s="85"/>
      <c r="G34" s="100"/>
      <c r="H34" s="58"/>
    </row>
    <row r="35" spans="1:8" ht="12.75">
      <c r="A35" s="76"/>
      <c r="B35" s="1"/>
      <c r="C35" s="1" t="s">
        <v>9</v>
      </c>
      <c r="D35" s="1"/>
      <c r="E35" s="81">
        <f>E36+E37+E38+E39+E40</f>
        <v>83815.35</v>
      </c>
      <c r="F35" s="82">
        <f aca="true" t="shared" si="1" ref="F35:F40">+E35/E$7</f>
        <v>0.029027634882204733</v>
      </c>
      <c r="G35" s="101">
        <f>SUM(G36:G40)</f>
        <v>39588.31</v>
      </c>
      <c r="H35" s="58">
        <f aca="true" t="shared" si="2" ref="H35:H40">+G35/G$7</f>
        <v>0.020792083087177258</v>
      </c>
    </row>
    <row r="36" spans="1:8" ht="12.75">
      <c r="A36" s="76"/>
      <c r="B36" s="1"/>
      <c r="C36" s="1" t="s">
        <v>10</v>
      </c>
      <c r="D36" s="1" t="s">
        <v>65</v>
      </c>
      <c r="E36" s="79">
        <f>28506.35+400+149.51+532.45</f>
        <v>29588.309999999998</v>
      </c>
      <c r="F36" s="85">
        <f t="shared" si="1"/>
        <v>0.010247271644889474</v>
      </c>
      <c r="G36" s="100">
        <f>28506.35+400+149.51+532.45</f>
        <v>29588.309999999998</v>
      </c>
      <c r="H36" s="58">
        <f t="shared" si="2"/>
        <v>0.015540006631481812</v>
      </c>
    </row>
    <row r="37" spans="1:8" ht="12.75">
      <c r="A37" s="76"/>
      <c r="B37" s="1"/>
      <c r="C37" s="1"/>
      <c r="D37" s="1" t="s">
        <v>96</v>
      </c>
      <c r="E37" s="79">
        <v>10000</v>
      </c>
      <c r="F37" s="85">
        <f t="shared" si="1"/>
        <v>0.0034632838593652276</v>
      </c>
      <c r="G37" s="100">
        <v>10000</v>
      </c>
      <c r="H37" s="58">
        <f t="shared" si="2"/>
        <v>0.005252076455695446</v>
      </c>
    </row>
    <row r="38" spans="1:8" ht="12.75">
      <c r="A38" s="76"/>
      <c r="B38" s="1"/>
      <c r="C38" s="1"/>
      <c r="D38" s="1" t="s">
        <v>97</v>
      </c>
      <c r="E38" s="79">
        <v>42227.04</v>
      </c>
      <c r="F38" s="85">
        <f t="shared" si="1"/>
        <v>0.014624422606076984</v>
      </c>
      <c r="G38" s="100">
        <v>0</v>
      </c>
      <c r="H38" s="58">
        <f t="shared" si="2"/>
        <v>0</v>
      </c>
    </row>
    <row r="39" spans="1:8" ht="12.75">
      <c r="A39" s="76"/>
      <c r="B39" s="1"/>
      <c r="C39" s="1"/>
      <c r="D39" s="1" t="s">
        <v>99</v>
      </c>
      <c r="E39" s="18">
        <v>2000</v>
      </c>
      <c r="F39" s="85">
        <f t="shared" si="1"/>
        <v>0.0006926567718730455</v>
      </c>
      <c r="G39" s="100">
        <v>0</v>
      </c>
      <c r="H39" s="58">
        <f t="shared" si="2"/>
        <v>0</v>
      </c>
    </row>
    <row r="40" spans="1:8" ht="12.75" hidden="1">
      <c r="A40" s="76"/>
      <c r="B40" s="1"/>
      <c r="C40" s="1"/>
      <c r="D40" s="1" t="s">
        <v>105</v>
      </c>
      <c r="E40" s="79">
        <v>0</v>
      </c>
      <c r="F40" s="85">
        <f t="shared" si="1"/>
        <v>0</v>
      </c>
      <c r="G40" s="100">
        <v>0</v>
      </c>
      <c r="H40" s="58">
        <f t="shared" si="2"/>
        <v>0</v>
      </c>
    </row>
    <row r="41" spans="1:8" ht="12.75">
      <c r="A41" s="76"/>
      <c r="B41" s="1"/>
      <c r="C41" s="1"/>
      <c r="D41" s="1"/>
      <c r="E41" s="79"/>
      <c r="F41" s="85"/>
      <c r="G41" s="100"/>
      <c r="H41" s="58"/>
    </row>
    <row r="42" spans="1:11" ht="12.75">
      <c r="A42" s="76"/>
      <c r="B42" s="1"/>
      <c r="C42" s="1" t="s">
        <v>11</v>
      </c>
      <c r="D42" s="1"/>
      <c r="E42" s="81">
        <f>SUM(E43:E67)</f>
        <v>2511917.38</v>
      </c>
      <c r="F42" s="82">
        <f>+E42/E$7</f>
        <v>0.869948291821299</v>
      </c>
      <c r="G42" s="101">
        <f>SUM(G43:G67)</f>
        <v>1582751.9200000002</v>
      </c>
      <c r="H42" s="58">
        <f aca="true" t="shared" si="3" ref="H42:H67">+G42/G$7</f>
        <v>0.8312734094238764</v>
      </c>
      <c r="J42" s="83">
        <f>+E42-2511917.38</f>
        <v>0</v>
      </c>
      <c r="K42" s="83">
        <f>+G42-1582751.92</f>
        <v>0</v>
      </c>
    </row>
    <row r="43" spans="1:8" ht="12.75">
      <c r="A43" s="76"/>
      <c r="B43" s="1"/>
      <c r="C43" s="1"/>
      <c r="D43" s="1" t="s">
        <v>12</v>
      </c>
      <c r="E43" s="87">
        <v>73595.55</v>
      </c>
      <c r="F43" s="85">
        <f>+E43/E$7</f>
        <v>0.02548822804361066</v>
      </c>
      <c r="G43" s="100">
        <v>34820.03</v>
      </c>
      <c r="H43" s="58">
        <f t="shared" si="3"/>
        <v>0.01828774597496091</v>
      </c>
    </row>
    <row r="44" spans="1:8" ht="12.75">
      <c r="A44" s="76"/>
      <c r="B44" s="1"/>
      <c r="C44" s="1"/>
      <c r="D44" s="1" t="s">
        <v>26</v>
      </c>
      <c r="E44" s="87">
        <v>48002.21</v>
      </c>
      <c r="F44" s="85">
        <f aca="true" t="shared" si="4" ref="F44:F66">+E44/E$7</f>
        <v>0.01662452791068601</v>
      </c>
      <c r="G44" s="100">
        <v>17581.19</v>
      </c>
      <c r="H44" s="58">
        <f t="shared" si="3"/>
        <v>0.009233775406210822</v>
      </c>
    </row>
    <row r="45" spans="1:8" ht="12.75">
      <c r="A45" s="76"/>
      <c r="B45" s="1"/>
      <c r="C45" s="1"/>
      <c r="D45" s="1" t="s">
        <v>13</v>
      </c>
      <c r="E45" s="87">
        <f>71240.43+659.23</f>
        <v>71899.65999999999</v>
      </c>
      <c r="F45" s="85">
        <f t="shared" si="4"/>
        <v>0.024900893197184762</v>
      </c>
      <c r="G45" s="100">
        <f>19069.95+16.61+659.23</f>
        <v>19745.79</v>
      </c>
      <c r="H45" s="58">
        <f t="shared" si="3"/>
        <v>0.01037063987581066</v>
      </c>
    </row>
    <row r="46" spans="1:8" ht="12.75">
      <c r="A46" s="76"/>
      <c r="B46" s="1"/>
      <c r="C46" s="1"/>
      <c r="D46" s="1" t="s">
        <v>54</v>
      </c>
      <c r="E46" s="87">
        <v>485.84</v>
      </c>
      <c r="F46" s="85">
        <f t="shared" si="4"/>
        <v>0.0001682601830234002</v>
      </c>
      <c r="G46" s="100">
        <v>485.84</v>
      </c>
      <c r="H46" s="58">
        <f t="shared" si="3"/>
        <v>0.00025516688252350754</v>
      </c>
    </row>
    <row r="47" spans="1:8" ht="12.75">
      <c r="A47" s="76"/>
      <c r="B47" s="1"/>
      <c r="C47" s="1"/>
      <c r="D47" s="1" t="s">
        <v>66</v>
      </c>
      <c r="E47" s="87">
        <v>74303.24</v>
      </c>
      <c r="F47" s="85">
        <f t="shared" si="4"/>
        <v>0.025733321179054077</v>
      </c>
      <c r="G47" s="100">
        <v>69916.1</v>
      </c>
      <c r="H47" s="58">
        <f t="shared" si="3"/>
        <v>0.036720470268404845</v>
      </c>
    </row>
    <row r="48" spans="1:8" ht="12.75">
      <c r="A48" s="76"/>
      <c r="B48" s="1"/>
      <c r="C48" s="1"/>
      <c r="D48" s="1" t="s">
        <v>67</v>
      </c>
      <c r="E48" s="87">
        <v>3206.77</v>
      </c>
      <c r="F48" s="85">
        <f t="shared" si="4"/>
        <v>0.001110595478169663</v>
      </c>
      <c r="G48" s="100">
        <v>3206.77</v>
      </c>
      <c r="H48" s="58">
        <f t="shared" si="3"/>
        <v>0.0016842201215830487</v>
      </c>
    </row>
    <row r="49" spans="1:8" ht="12.75">
      <c r="A49" s="76"/>
      <c r="B49" s="1"/>
      <c r="C49" s="1"/>
      <c r="D49" s="1" t="s">
        <v>68</v>
      </c>
      <c r="E49" s="87">
        <v>204590</v>
      </c>
      <c r="F49" s="85">
        <f t="shared" si="4"/>
        <v>0.07085532447875319</v>
      </c>
      <c r="G49" s="100">
        <v>175289.85</v>
      </c>
      <c r="H49" s="58">
        <f t="shared" si="3"/>
        <v>0.09206356941073865</v>
      </c>
    </row>
    <row r="50" spans="1:8" ht="12.75">
      <c r="A50" s="76"/>
      <c r="B50" s="1"/>
      <c r="C50" s="1"/>
      <c r="D50" s="1" t="s">
        <v>69</v>
      </c>
      <c r="E50" s="87">
        <v>21271.01</v>
      </c>
      <c r="F50" s="85">
        <f t="shared" si="4"/>
        <v>0.007366754560539634</v>
      </c>
      <c r="G50" s="100">
        <v>21271.01</v>
      </c>
      <c r="H50" s="58">
        <f t="shared" si="3"/>
        <v>0.011171697080986238</v>
      </c>
    </row>
    <row r="51" spans="1:8" ht="12.75">
      <c r="A51" s="76"/>
      <c r="B51" s="1"/>
      <c r="C51" s="1"/>
      <c r="D51" s="1" t="s">
        <v>70</v>
      </c>
      <c r="E51" s="87">
        <v>12827.15</v>
      </c>
      <c r="F51" s="85">
        <f t="shared" si="4"/>
        <v>0.004442406155665667</v>
      </c>
      <c r="G51" s="100">
        <v>5649.87</v>
      </c>
      <c r="H51" s="58">
        <f t="shared" si="3"/>
        <v>0.002967354920474003</v>
      </c>
    </row>
    <row r="52" spans="1:8" ht="12.75">
      <c r="A52" s="76"/>
      <c r="B52" s="1"/>
      <c r="C52" s="1"/>
      <c r="D52" s="1" t="s">
        <v>71</v>
      </c>
      <c r="E52" s="87">
        <v>24100</v>
      </c>
      <c r="F52" s="85">
        <f t="shared" si="4"/>
        <v>0.008346514101070198</v>
      </c>
      <c r="G52" s="100">
        <v>24100</v>
      </c>
      <c r="H52" s="58">
        <f t="shared" si="3"/>
        <v>0.012657504258226026</v>
      </c>
    </row>
    <row r="53" spans="1:8" ht="12.75">
      <c r="A53" s="76"/>
      <c r="B53" s="1"/>
      <c r="C53" s="1"/>
      <c r="D53" s="1" t="s">
        <v>72</v>
      </c>
      <c r="E53" s="87">
        <v>12292</v>
      </c>
      <c r="F53" s="85">
        <f t="shared" si="4"/>
        <v>0.0042570685199317376</v>
      </c>
      <c r="G53" s="100">
        <v>12292</v>
      </c>
      <c r="H53" s="58">
        <f t="shared" si="3"/>
        <v>0.006455852379340842</v>
      </c>
    </row>
    <row r="54" spans="1:8" ht="12.75">
      <c r="A54" s="76"/>
      <c r="B54" s="1"/>
      <c r="C54" s="1"/>
      <c r="D54" s="1" t="s">
        <v>73</v>
      </c>
      <c r="E54" s="87">
        <v>6073.37</v>
      </c>
      <c r="F54" s="85">
        <f t="shared" si="4"/>
        <v>0.002103380429295299</v>
      </c>
      <c r="G54" s="100">
        <v>6073.37</v>
      </c>
      <c r="H54" s="58">
        <f t="shared" si="3"/>
        <v>0.0031897803583727053</v>
      </c>
    </row>
    <row r="55" spans="1:8" ht="12.75">
      <c r="A55" s="76"/>
      <c r="B55" s="1"/>
      <c r="C55" s="1"/>
      <c r="D55" s="1" t="s">
        <v>74</v>
      </c>
      <c r="E55" s="87">
        <v>5943</v>
      </c>
      <c r="F55" s="85">
        <f t="shared" si="4"/>
        <v>0.0020582295976207545</v>
      </c>
      <c r="G55" s="100">
        <v>5943</v>
      </c>
      <c r="H55" s="58">
        <f t="shared" si="3"/>
        <v>0.0031213090376198036</v>
      </c>
    </row>
    <row r="56" spans="1:8" ht="12.75">
      <c r="A56" s="76"/>
      <c r="B56" s="1"/>
      <c r="C56" s="1"/>
      <c r="D56" s="1" t="s">
        <v>75</v>
      </c>
      <c r="E56" s="87">
        <v>58173.43</v>
      </c>
      <c r="F56" s="85">
        <f t="shared" si="4"/>
        <v>0.020147110116291292</v>
      </c>
      <c r="G56" s="100">
        <v>58173.43</v>
      </c>
      <c r="H56" s="58">
        <f t="shared" si="3"/>
        <v>0.030553130205004716</v>
      </c>
    </row>
    <row r="57" spans="1:8" ht="12.75">
      <c r="A57" s="76"/>
      <c r="B57" s="1"/>
      <c r="C57" s="1"/>
      <c r="D57" s="1" t="s">
        <v>93</v>
      </c>
      <c r="E57" s="87">
        <v>47840</v>
      </c>
      <c r="F57" s="85">
        <f t="shared" si="4"/>
        <v>0.016568349983203248</v>
      </c>
      <c r="G57" s="100">
        <v>45920.1</v>
      </c>
      <c r="H57" s="58">
        <f t="shared" si="3"/>
        <v>0.024117587605318045</v>
      </c>
    </row>
    <row r="58" spans="1:8" ht="12.75">
      <c r="A58" s="76"/>
      <c r="B58" s="1"/>
      <c r="C58" s="1"/>
      <c r="D58" s="1" t="s">
        <v>76</v>
      </c>
      <c r="E58" s="87">
        <v>171334.27</v>
      </c>
      <c r="F58" s="85">
        <f t="shared" si="4"/>
        <v>0.059337921184712386</v>
      </c>
      <c r="G58" s="100">
        <v>171334.27</v>
      </c>
      <c r="H58" s="58">
        <f t="shared" si="3"/>
        <v>0.08998606855207666</v>
      </c>
    </row>
    <row r="59" spans="1:8" ht="12.75">
      <c r="A59" s="76"/>
      <c r="B59" s="1"/>
      <c r="C59" s="1"/>
      <c r="D59" s="1" t="s">
        <v>77</v>
      </c>
      <c r="E59" s="87">
        <v>583773.54</v>
      </c>
      <c r="F59" s="85">
        <f t="shared" si="4"/>
        <v>0.20217734786065011</v>
      </c>
      <c r="G59" s="100">
        <v>583773.54</v>
      </c>
      <c r="H59" s="58">
        <f t="shared" si="3"/>
        <v>0.3066023264891984</v>
      </c>
    </row>
    <row r="60" spans="1:8" ht="12.75">
      <c r="A60" s="76"/>
      <c r="B60" s="1"/>
      <c r="C60" s="1"/>
      <c r="D60" s="1" t="s">
        <v>78</v>
      </c>
      <c r="E60" s="87">
        <v>90563.82</v>
      </c>
      <c r="F60" s="85">
        <f t="shared" si="4"/>
        <v>0.03136482160484578</v>
      </c>
      <c r="G60" s="100">
        <v>90563.82</v>
      </c>
      <c r="H60" s="58">
        <f t="shared" si="3"/>
        <v>0.047564810675984046</v>
      </c>
    </row>
    <row r="61" spans="1:8" ht="12.75">
      <c r="A61" s="76"/>
      <c r="B61" s="1"/>
      <c r="C61" s="1"/>
      <c r="D61" s="1" t="s">
        <v>79</v>
      </c>
      <c r="E61" s="87">
        <v>123119.33</v>
      </c>
      <c r="F61" s="85">
        <f t="shared" si="4"/>
        <v>0.0426397188364861</v>
      </c>
      <c r="G61" s="100">
        <v>123119.33</v>
      </c>
      <c r="H61" s="58">
        <f t="shared" si="3"/>
        <v>0.0646632134333998</v>
      </c>
    </row>
    <row r="62" spans="1:8" ht="12.75">
      <c r="A62" s="76"/>
      <c r="B62" s="1"/>
      <c r="C62" s="1"/>
      <c r="D62" s="1" t="s">
        <v>80</v>
      </c>
      <c r="E62" s="87">
        <v>108551.44</v>
      </c>
      <c r="F62" s="85">
        <f t="shared" si="4"/>
        <v>0.037594445006285296</v>
      </c>
      <c r="G62" s="100">
        <v>108551.44</v>
      </c>
      <c r="H62" s="58">
        <f t="shared" si="3"/>
        <v>0.057012046225583694</v>
      </c>
    </row>
    <row r="63" spans="1:8" ht="12.75">
      <c r="A63" s="76"/>
      <c r="B63" s="1"/>
      <c r="C63" s="1"/>
      <c r="D63" s="1" t="s">
        <v>81</v>
      </c>
      <c r="E63" s="87">
        <v>4941.17</v>
      </c>
      <c r="F63" s="85">
        <f t="shared" si="4"/>
        <v>0.0017112674307379681</v>
      </c>
      <c r="G63" s="100">
        <v>4941.17</v>
      </c>
      <c r="H63" s="58">
        <f t="shared" si="3"/>
        <v>0.002595140262058867</v>
      </c>
    </row>
    <row r="64" spans="1:8" ht="12.75">
      <c r="A64" s="76"/>
      <c r="B64" s="1"/>
      <c r="C64" s="1"/>
      <c r="D64" s="1" t="s">
        <v>94</v>
      </c>
      <c r="E64" s="87">
        <v>30.61</v>
      </c>
      <c r="F64" s="85">
        <f t="shared" si="4"/>
        <v>1.0601111893516961E-05</v>
      </c>
      <c r="G64" s="100">
        <v>0</v>
      </c>
      <c r="H64" s="58">
        <f t="shared" si="3"/>
        <v>0</v>
      </c>
    </row>
    <row r="65" spans="1:8" ht="12.75">
      <c r="A65" s="76"/>
      <c r="B65" s="1"/>
      <c r="C65" s="1"/>
      <c r="D65" s="1" t="s">
        <v>100</v>
      </c>
      <c r="E65" s="87">
        <v>300000</v>
      </c>
      <c r="F65" s="85">
        <f t="shared" si="4"/>
        <v>0.10389851578095682</v>
      </c>
      <c r="G65" s="100">
        <v>0</v>
      </c>
      <c r="H65" s="58">
        <f t="shared" si="3"/>
        <v>0</v>
      </c>
    </row>
    <row r="66" spans="1:8" ht="12.75">
      <c r="A66" s="76"/>
      <c r="B66" s="1"/>
      <c r="C66" s="1"/>
      <c r="D66" s="1" t="s">
        <v>101</v>
      </c>
      <c r="E66" s="87">
        <v>464999.97</v>
      </c>
      <c r="F66" s="85">
        <f t="shared" si="4"/>
        <v>0.1610426890706315</v>
      </c>
      <c r="G66" s="100">
        <v>0</v>
      </c>
      <c r="H66" s="58">
        <f t="shared" si="3"/>
        <v>0</v>
      </c>
    </row>
    <row r="67" spans="1:8" ht="12.75">
      <c r="A67" s="76"/>
      <c r="B67" s="1"/>
      <c r="C67" s="1"/>
      <c r="D67" s="1" t="s">
        <v>14</v>
      </c>
      <c r="E67" s="79">
        <v>0</v>
      </c>
      <c r="F67" s="85"/>
      <c r="G67" s="100">
        <v>0</v>
      </c>
      <c r="H67" s="58">
        <f t="shared" si="3"/>
        <v>0</v>
      </c>
    </row>
    <row r="68" spans="1:8" ht="12.75">
      <c r="A68" s="76"/>
      <c r="B68" s="1"/>
      <c r="C68" s="1"/>
      <c r="D68" s="1"/>
      <c r="E68" s="79"/>
      <c r="F68" s="85"/>
      <c r="G68" s="100"/>
      <c r="H68" s="58"/>
    </row>
    <row r="69" spans="1:8" ht="12.75">
      <c r="A69" s="76"/>
      <c r="B69" s="1"/>
      <c r="C69" s="1" t="s">
        <v>82</v>
      </c>
      <c r="D69" s="1"/>
      <c r="E69" s="81">
        <f>E70</f>
        <v>557</v>
      </c>
      <c r="F69" s="82">
        <f>+E69/E$7</f>
        <v>0.00019290491096664317</v>
      </c>
      <c r="G69" s="101">
        <f>+G70</f>
        <v>557</v>
      </c>
      <c r="H69" s="58">
        <f>+G69/G$7</f>
        <v>0.00029254065858223637</v>
      </c>
    </row>
    <row r="70" spans="1:8" ht="12.75">
      <c r="A70" s="76"/>
      <c r="B70" s="1"/>
      <c r="C70" s="1"/>
      <c r="D70" s="1" t="s">
        <v>83</v>
      </c>
      <c r="E70" s="87">
        <v>557</v>
      </c>
      <c r="F70" s="85">
        <f>+E70/E$7</f>
        <v>0.00019290491096664317</v>
      </c>
      <c r="G70" s="100">
        <v>557</v>
      </c>
      <c r="H70" s="58">
        <f>+G70/G$7</f>
        <v>0.00029254065858223637</v>
      </c>
    </row>
    <row r="71" spans="1:8" ht="13.5" thickBot="1">
      <c r="A71" s="76"/>
      <c r="B71" s="1"/>
      <c r="C71" s="1"/>
      <c r="D71" s="1"/>
      <c r="E71" s="79"/>
      <c r="F71" s="78"/>
      <c r="G71" s="98"/>
      <c r="H71" s="58"/>
    </row>
    <row r="72" spans="1:8" ht="12.75">
      <c r="A72" s="2"/>
      <c r="B72" s="3"/>
      <c r="C72" s="3"/>
      <c r="D72" s="3"/>
      <c r="E72" s="77"/>
      <c r="F72" s="88"/>
      <c r="G72" s="102"/>
      <c r="H72" s="59"/>
    </row>
    <row r="73" spans="1:8" ht="15">
      <c r="A73" s="80" t="s">
        <v>15</v>
      </c>
      <c r="B73" s="4"/>
      <c r="C73" s="4"/>
      <c r="D73" s="4"/>
      <c r="E73" s="81">
        <f>E75+E87+E92+E103</f>
        <v>3329880.3899999997</v>
      </c>
      <c r="F73" s="82">
        <f>+E73/E$7</f>
        <v>1.1532321008303787</v>
      </c>
      <c r="G73" s="99">
        <f>G75+G87+G92+G103</f>
        <v>1904008.8399999996</v>
      </c>
      <c r="H73" s="57">
        <f>+G73/G$7</f>
        <v>0.9999999999999997</v>
      </c>
    </row>
    <row r="74" spans="1:8" ht="15">
      <c r="A74" s="80"/>
      <c r="B74" s="4"/>
      <c r="C74" s="4"/>
      <c r="D74" s="4"/>
      <c r="E74" s="81"/>
      <c r="F74" s="89"/>
      <c r="G74" s="99"/>
      <c r="H74" s="57"/>
    </row>
    <row r="75" spans="1:8" ht="12.75">
      <c r="A75" s="86"/>
      <c r="B75" s="4" t="s">
        <v>3</v>
      </c>
      <c r="C75" s="4"/>
      <c r="D75" s="4"/>
      <c r="E75" s="81">
        <f>E77</f>
        <v>1020448.3099999999</v>
      </c>
      <c r="F75" s="90">
        <f>+E75/E$7</f>
        <v>0.3534102161339524</v>
      </c>
      <c r="G75" s="99">
        <f>+G77</f>
        <v>207753.45999999996</v>
      </c>
      <c r="H75" s="57">
        <f>+G75/G$7</f>
        <v>0.10911370558552655</v>
      </c>
    </row>
    <row r="76" spans="1:8" ht="12.75">
      <c r="A76" s="76"/>
      <c r="B76" s="1"/>
      <c r="C76" s="1"/>
      <c r="D76" s="1"/>
      <c r="E76" s="79"/>
      <c r="F76" s="91"/>
      <c r="G76" s="98"/>
      <c r="H76" s="58"/>
    </row>
    <row r="77" spans="1:8" ht="12.75">
      <c r="A77" s="76"/>
      <c r="B77" s="1"/>
      <c r="C77" s="1" t="s">
        <v>16</v>
      </c>
      <c r="D77" s="1"/>
      <c r="E77" s="81">
        <f>SUM(E78:E85)</f>
        <v>1020448.3099999999</v>
      </c>
      <c r="F77" s="92">
        <f>+E77/E$7</f>
        <v>0.3534102161339524</v>
      </c>
      <c r="G77" s="98">
        <f>SUM(G78:G85)</f>
        <v>207753.45999999996</v>
      </c>
      <c r="H77" s="58">
        <f aca="true" t="shared" si="5" ref="H77:H85">+G77/G$7</f>
        <v>0.10911370558552655</v>
      </c>
    </row>
    <row r="78" spans="1:8" ht="12.75">
      <c r="A78" s="76"/>
      <c r="B78" s="1"/>
      <c r="C78" s="1"/>
      <c r="D78" s="1" t="s">
        <v>17</v>
      </c>
      <c r="E78" s="79">
        <v>122490.98</v>
      </c>
      <c r="F78" s="92">
        <f>+E78/E$7</f>
        <v>0.04242210339518289</v>
      </c>
      <c r="G78" s="98">
        <v>66975.01</v>
      </c>
      <c r="H78" s="58">
        <f t="shared" si="5"/>
        <v>0.03517578731409671</v>
      </c>
    </row>
    <row r="79" spans="1:8" ht="12.75">
      <c r="A79" s="76"/>
      <c r="B79" s="1"/>
      <c r="C79" s="1"/>
      <c r="D79" s="1" t="s">
        <v>18</v>
      </c>
      <c r="E79" s="79">
        <f>53288.5+923.32+18163.52</f>
        <v>72375.34</v>
      </c>
      <c r="F79" s="92">
        <f>+E79/E$7</f>
        <v>0.02506563468380705</v>
      </c>
      <c r="G79" s="98">
        <f>453.87+46815.3</f>
        <v>47269.170000000006</v>
      </c>
      <c r="H79" s="58">
        <f t="shared" si="5"/>
        <v>0.024826129483726554</v>
      </c>
    </row>
    <row r="80" spans="1:8" ht="12.75">
      <c r="A80" s="76"/>
      <c r="B80" s="1"/>
      <c r="C80" s="1"/>
      <c r="D80" s="1" t="s">
        <v>19</v>
      </c>
      <c r="E80" s="79">
        <f>112210.24+9836.21+410.52+3313.46</f>
        <v>125770.43000000002</v>
      </c>
      <c r="F80" s="92">
        <f aca="true" t="shared" si="6" ref="F80:F85">+E70/E$7</f>
        <v>0.00019290491096664317</v>
      </c>
      <c r="G80" s="98">
        <f>26264.31+11627.06+7613.41+2665.27+320.85+1387.37</f>
        <v>49878.27</v>
      </c>
      <c r="H80" s="58">
        <f t="shared" si="5"/>
        <v>0.02619644875178205</v>
      </c>
    </row>
    <row r="81" spans="1:8" ht="12.75">
      <c r="A81" s="76"/>
      <c r="B81" s="1"/>
      <c r="C81" s="1"/>
      <c r="D81" s="1" t="s">
        <v>20</v>
      </c>
      <c r="E81" s="79">
        <v>0</v>
      </c>
      <c r="F81" s="92">
        <f t="shared" si="6"/>
        <v>0</v>
      </c>
      <c r="G81" s="98">
        <v>9407.96</v>
      </c>
      <c r="H81" s="58">
        <f t="shared" si="5"/>
        <v>0.0049411325212124525</v>
      </c>
    </row>
    <row r="82" spans="1:8" ht="12.75">
      <c r="A82" s="76"/>
      <c r="B82" s="1"/>
      <c r="C82" s="1"/>
      <c r="D82" s="1" t="s">
        <v>108</v>
      </c>
      <c r="E82" s="79">
        <v>550405.13</v>
      </c>
      <c r="F82" s="92">
        <f t="shared" si="6"/>
        <v>0</v>
      </c>
      <c r="G82" s="98">
        <v>21759.85</v>
      </c>
      <c r="H82" s="58">
        <f t="shared" si="5"/>
        <v>0.011428439586446456</v>
      </c>
    </row>
    <row r="83" spans="1:8" ht="12.75">
      <c r="A83" s="76"/>
      <c r="B83" s="1"/>
      <c r="C83" s="1"/>
      <c r="D83" s="1" t="s">
        <v>21</v>
      </c>
      <c r="E83" s="79">
        <v>0</v>
      </c>
      <c r="F83" s="92">
        <f t="shared" si="6"/>
        <v>1.1532321008303787</v>
      </c>
      <c r="G83" s="98">
        <v>9904.93</v>
      </c>
      <c r="H83" s="58">
        <f t="shared" si="5"/>
        <v>0.0052021449648311496</v>
      </c>
    </row>
    <row r="84" spans="1:8" ht="12.75">
      <c r="A84" s="76"/>
      <c r="B84" s="1"/>
      <c r="C84" s="1"/>
      <c r="D84" s="1" t="s">
        <v>87</v>
      </c>
      <c r="E84" s="79">
        <v>59798.59</v>
      </c>
      <c r="F84" s="92">
        <f t="shared" si="6"/>
        <v>0</v>
      </c>
      <c r="G84" s="98">
        <v>0</v>
      </c>
      <c r="H84" s="58">
        <f t="shared" si="5"/>
        <v>0</v>
      </c>
    </row>
    <row r="85" spans="1:8" ht="12.75">
      <c r="A85" s="76"/>
      <c r="B85" s="1"/>
      <c r="C85" s="1"/>
      <c r="D85" s="1" t="s">
        <v>52</v>
      </c>
      <c r="E85" s="79">
        <f>86009.68+639.9+2400.26+558</f>
        <v>89607.83999999998</v>
      </c>
      <c r="F85" s="92">
        <f t="shared" si="6"/>
        <v>0.3534102161339524</v>
      </c>
      <c r="G85" s="98">
        <v>2558.27</v>
      </c>
      <c r="H85" s="58">
        <f t="shared" si="5"/>
        <v>0.001343622963431199</v>
      </c>
    </row>
    <row r="86" spans="1:8" ht="12.75">
      <c r="A86" s="76"/>
      <c r="B86" s="1"/>
      <c r="C86" s="1"/>
      <c r="D86" s="1"/>
      <c r="E86" s="79"/>
      <c r="F86" s="92"/>
      <c r="G86" s="98"/>
      <c r="H86" s="58"/>
    </row>
    <row r="87" spans="1:8" ht="12.75">
      <c r="A87" s="76"/>
      <c r="B87" s="265" t="s">
        <v>88</v>
      </c>
      <c r="C87" s="265"/>
      <c r="D87" s="266"/>
      <c r="E87" s="81">
        <f>E89+E90</f>
        <v>557651.99</v>
      </c>
      <c r="F87" s="92">
        <f>+E77/E$7</f>
        <v>0.3534102161339524</v>
      </c>
      <c r="G87" s="99">
        <f>G89+G90</f>
        <v>0</v>
      </c>
      <c r="H87" s="58">
        <f>+G87/G$7</f>
        <v>0</v>
      </c>
    </row>
    <row r="88" spans="1:8" ht="12.75">
      <c r="A88" s="76"/>
      <c r="B88" s="51"/>
      <c r="C88" s="51"/>
      <c r="D88" s="51"/>
      <c r="E88" s="79"/>
      <c r="F88" s="92"/>
      <c r="G88" s="98"/>
      <c r="H88" s="58"/>
    </row>
    <row r="89" spans="1:8" ht="12.75">
      <c r="A89" s="76"/>
      <c r="B89" s="1"/>
      <c r="C89" s="1"/>
      <c r="D89" s="1" t="s">
        <v>89</v>
      </c>
      <c r="E89" s="79">
        <v>407651.99</v>
      </c>
      <c r="F89" s="92">
        <f>+E79/E$7</f>
        <v>0.02506563468380705</v>
      </c>
      <c r="G89" s="98">
        <v>0</v>
      </c>
      <c r="H89" s="58">
        <f>+G89/G$7</f>
        <v>0</v>
      </c>
    </row>
    <row r="90" spans="1:8" ht="12.75">
      <c r="A90" s="76"/>
      <c r="B90" s="1"/>
      <c r="C90" s="1"/>
      <c r="D90" s="1" t="s">
        <v>106</v>
      </c>
      <c r="E90" s="79">
        <v>150000</v>
      </c>
      <c r="F90" s="92">
        <f>+E90/E$7</f>
        <v>0.05194925789047841</v>
      </c>
      <c r="G90" s="98">
        <v>0</v>
      </c>
      <c r="H90" s="58">
        <f>+G90/G$7</f>
        <v>0</v>
      </c>
    </row>
    <row r="91" spans="1:8" ht="12.75">
      <c r="A91" s="76"/>
      <c r="B91" s="1"/>
      <c r="C91" s="1"/>
      <c r="D91" s="1"/>
      <c r="E91" s="79"/>
      <c r="F91" s="92"/>
      <c r="G91" s="98"/>
      <c r="H91" s="58"/>
    </row>
    <row r="92" spans="1:8" ht="12.75">
      <c r="A92" s="86"/>
      <c r="B92" s="4" t="s">
        <v>22</v>
      </c>
      <c r="C92" s="4"/>
      <c r="D92" s="4"/>
      <c r="E92" s="81">
        <f>E93+E95</f>
        <v>1695006.6199999996</v>
      </c>
      <c r="F92" s="92">
        <f>+E92/E$7</f>
        <v>0.5870289068563208</v>
      </c>
      <c r="G92" s="99">
        <f>G93+G95</f>
        <v>1655879.9499999997</v>
      </c>
      <c r="H92" s="57">
        <f>+G92/G$7</f>
        <v>0.8696808098853152</v>
      </c>
    </row>
    <row r="93" spans="1:8" ht="12.75">
      <c r="A93" s="86"/>
      <c r="B93" s="4"/>
      <c r="C93" s="4"/>
      <c r="D93" s="1" t="s">
        <v>90</v>
      </c>
      <c r="E93" s="79">
        <v>0.17</v>
      </c>
      <c r="F93" s="92">
        <f>+E93/E$7</f>
        <v>5.887582560920887E-08</v>
      </c>
      <c r="G93" s="98">
        <v>0.17</v>
      </c>
      <c r="H93" s="58">
        <f>+G93/G$7</f>
        <v>8.928529974682259E-08</v>
      </c>
    </row>
    <row r="94" spans="1:8" ht="12.75">
      <c r="A94" s="76"/>
      <c r="B94" s="1"/>
      <c r="C94" s="1" t="s">
        <v>23</v>
      </c>
      <c r="D94" s="1"/>
      <c r="E94" s="79"/>
      <c r="F94" s="92"/>
      <c r="G94" s="98"/>
      <c r="H94" s="57"/>
    </row>
    <row r="95" spans="1:8" ht="12.75">
      <c r="A95" s="76"/>
      <c r="B95" s="1"/>
      <c r="C95" s="1"/>
      <c r="D95" s="4" t="s">
        <v>24</v>
      </c>
      <c r="E95" s="81">
        <f>SUM(E96:E101)</f>
        <v>1695006.4499999997</v>
      </c>
      <c r="F95" s="92">
        <f aca="true" t="shared" si="7" ref="F95:F101">+E95/E$7</f>
        <v>0.5870288479804953</v>
      </c>
      <c r="G95" s="99">
        <f>G96+G97+G98+G99+G100</f>
        <v>1655879.7799999998</v>
      </c>
      <c r="H95" s="58">
        <f aca="true" t="shared" si="8" ref="H95:H100">+G95/G$7</f>
        <v>0.8696807206000154</v>
      </c>
    </row>
    <row r="96" spans="1:8" ht="12.75">
      <c r="A96" s="76"/>
      <c r="B96" s="1"/>
      <c r="C96" s="1"/>
      <c r="D96" s="1" t="s">
        <v>102</v>
      </c>
      <c r="E96" s="79">
        <v>-40684.77</v>
      </c>
      <c r="F96" s="92">
        <f t="shared" si="7"/>
        <v>-0.014090290726298662</v>
      </c>
      <c r="G96" s="98">
        <v>-40684.77</v>
      </c>
      <c r="H96" s="58">
        <f t="shared" si="8"/>
        <v>-0.021367952262238442</v>
      </c>
    </row>
    <row r="97" spans="1:8" ht="12.75">
      <c r="A97" s="76"/>
      <c r="B97" s="1"/>
      <c r="C97" s="1"/>
      <c r="D97" s="1" t="s">
        <v>91</v>
      </c>
      <c r="E97" s="79">
        <v>1383526.94</v>
      </c>
      <c r="F97" s="92">
        <f t="shared" si="7"/>
        <v>0.4791546520298963</v>
      </c>
      <c r="G97" s="98">
        <v>1383526.94</v>
      </c>
      <c r="H97" s="58">
        <f t="shared" si="8"/>
        <v>0.7266389267394366</v>
      </c>
    </row>
    <row r="98" spans="1:8" ht="12.75">
      <c r="A98" s="76"/>
      <c r="B98" s="1"/>
      <c r="C98" s="1"/>
      <c r="D98" s="1" t="s">
        <v>92</v>
      </c>
      <c r="E98" s="79">
        <v>229453.17</v>
      </c>
      <c r="F98" s="92">
        <f t="shared" si="7"/>
        <v>0.07946614601411857</v>
      </c>
      <c r="G98" s="98">
        <f>2265219.11-1952181.5</f>
        <v>313037.60999999987</v>
      </c>
      <c r="H98" s="58">
        <f t="shared" si="8"/>
        <v>0.16440974612281728</v>
      </c>
    </row>
    <row r="99" spans="1:8" ht="12.75">
      <c r="A99" s="76"/>
      <c r="B99" s="1"/>
      <c r="C99" s="1"/>
      <c r="D99" s="1" t="s">
        <v>98</v>
      </c>
      <c r="E99" s="79">
        <v>473611.52</v>
      </c>
      <c r="F99" s="92">
        <f t="shared" si="7"/>
        <v>0.16402511328254316</v>
      </c>
      <c r="G99" s="98">
        <v>0</v>
      </c>
      <c r="H99" s="58">
        <f t="shared" si="8"/>
        <v>0</v>
      </c>
    </row>
    <row r="100" spans="1:8" ht="12.75">
      <c r="A100" s="76"/>
      <c r="B100" s="1"/>
      <c r="C100" s="1"/>
      <c r="D100" s="1" t="s">
        <v>103</v>
      </c>
      <c r="E100" s="79">
        <v>111339.04</v>
      </c>
      <c r="F100" s="92">
        <f t="shared" si="7"/>
        <v>0.03855987001492194</v>
      </c>
      <c r="G100" s="98">
        <v>0</v>
      </c>
      <c r="H100" s="58">
        <f t="shared" si="8"/>
        <v>0</v>
      </c>
    </row>
    <row r="101" spans="1:8" ht="12.75">
      <c r="A101" s="76"/>
      <c r="B101" s="1"/>
      <c r="C101" s="1"/>
      <c r="D101" s="1" t="s">
        <v>109</v>
      </c>
      <c r="E101" s="79">
        <f>4961531.43-5423770.88</f>
        <v>-462239.4500000002</v>
      </c>
      <c r="F101" s="92">
        <f t="shared" si="7"/>
        <v>-0.16008664263468608</v>
      </c>
      <c r="G101" s="98"/>
      <c r="H101" s="58"/>
    </row>
    <row r="102" spans="1:8" ht="12.75">
      <c r="A102" s="76"/>
      <c r="B102" s="1"/>
      <c r="C102" s="1"/>
      <c r="D102" s="1"/>
      <c r="E102" s="79"/>
      <c r="F102" s="92"/>
      <c r="G102" s="98"/>
      <c r="H102" s="58"/>
    </row>
    <row r="103" spans="1:8" ht="12.75">
      <c r="A103" s="76"/>
      <c r="B103" s="1"/>
      <c r="C103" s="1"/>
      <c r="D103" s="1" t="s">
        <v>107</v>
      </c>
      <c r="E103" s="79">
        <v>56773.47</v>
      </c>
      <c r="F103" s="92">
        <f>+E103/E$7</f>
        <v>0.019662264229115597</v>
      </c>
      <c r="G103" s="98">
        <v>40375.43</v>
      </c>
      <c r="H103" s="58">
        <f>+G103/G$7</f>
        <v>0.02120548452915796</v>
      </c>
    </row>
    <row r="104" spans="1:8" ht="13.5" thickBot="1">
      <c r="A104" s="93"/>
      <c r="B104" s="94"/>
      <c r="C104" s="94"/>
      <c r="D104" s="94"/>
      <c r="E104" s="95"/>
      <c r="F104" s="96"/>
      <c r="G104" s="103"/>
      <c r="H104" s="60"/>
    </row>
    <row r="107" ht="12.75">
      <c r="G107" s="97">
        <f>+G73-G7</f>
        <v>0</v>
      </c>
    </row>
  </sheetData>
  <sheetProtection/>
  <mergeCells count="1">
    <mergeCell ref="B87:D8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E28"/>
  <sheetViews>
    <sheetView zoomScalePageLayoutView="0" workbookViewId="0" topLeftCell="A1">
      <selection activeCell="C23" sqref="C23"/>
    </sheetView>
  </sheetViews>
  <sheetFormatPr defaultColWidth="9.140625" defaultRowHeight="12.75"/>
  <cols>
    <col min="1" max="1" width="10.140625" style="0" bestFit="1" customWidth="1"/>
    <col min="3" max="3" width="76.00390625" style="0" bestFit="1" customWidth="1"/>
    <col min="4" max="4" width="14.28125" style="0" bestFit="1" customWidth="1"/>
    <col min="5" max="5" width="56.421875" style="0" bestFit="1" customWidth="1"/>
  </cols>
  <sheetData>
    <row r="1" ht="15.75">
      <c r="A1" s="132" t="s">
        <v>200</v>
      </c>
    </row>
    <row r="3" spans="1:5" ht="15.75">
      <c r="A3" s="267" t="s">
        <v>198</v>
      </c>
      <c r="B3" s="267"/>
      <c r="C3" s="267"/>
      <c r="D3" s="267"/>
      <c r="E3" s="267"/>
    </row>
    <row r="5" spans="1:5" ht="12.75">
      <c r="A5" s="130" t="s">
        <v>171</v>
      </c>
      <c r="B5" s="130" t="s">
        <v>172</v>
      </c>
      <c r="C5" s="130" t="s">
        <v>173</v>
      </c>
      <c r="D5" s="130" t="s">
        <v>174</v>
      </c>
      <c r="E5" s="130" t="s">
        <v>175</v>
      </c>
    </row>
    <row r="6" spans="1:5" ht="15" customHeight="1">
      <c r="A6" s="127">
        <v>42473</v>
      </c>
      <c r="B6" s="121">
        <v>38569</v>
      </c>
      <c r="C6" s="128" t="s">
        <v>176</v>
      </c>
      <c r="D6" s="129">
        <v>1190</v>
      </c>
      <c r="E6" s="128" t="s">
        <v>180</v>
      </c>
    </row>
    <row r="7" spans="1:5" ht="15" customHeight="1">
      <c r="A7" s="127">
        <v>42478</v>
      </c>
      <c r="B7" s="121">
        <v>211</v>
      </c>
      <c r="C7" s="128" t="s">
        <v>177</v>
      </c>
      <c r="D7" s="129">
        <v>132000</v>
      </c>
      <c r="E7" s="128" t="s">
        <v>181</v>
      </c>
    </row>
    <row r="8" spans="1:5" ht="15" customHeight="1">
      <c r="A8" s="127">
        <v>42478</v>
      </c>
      <c r="B8" s="121">
        <v>211</v>
      </c>
      <c r="C8" s="128" t="s">
        <v>177</v>
      </c>
      <c r="D8" s="129">
        <v>21504</v>
      </c>
      <c r="E8" s="128" t="s">
        <v>182</v>
      </c>
    </row>
    <row r="9" spans="1:5" ht="15" customHeight="1">
      <c r="A9" s="127">
        <v>42478</v>
      </c>
      <c r="B9" s="121">
        <v>211</v>
      </c>
      <c r="C9" s="128" t="s">
        <v>177</v>
      </c>
      <c r="D9" s="129">
        <v>17068</v>
      </c>
      <c r="E9" s="128" t="s">
        <v>183</v>
      </c>
    </row>
    <row r="10" spans="1:5" ht="15" customHeight="1">
      <c r="A10" s="127">
        <v>42478</v>
      </c>
      <c r="B10" s="121">
        <v>211</v>
      </c>
      <c r="C10" s="128" t="s">
        <v>177</v>
      </c>
      <c r="D10" s="129">
        <v>6192</v>
      </c>
      <c r="E10" s="128" t="s">
        <v>184</v>
      </c>
    </row>
    <row r="11" spans="1:5" ht="15" customHeight="1">
      <c r="A11" s="127">
        <v>42478</v>
      </c>
      <c r="B11" s="121">
        <v>211</v>
      </c>
      <c r="C11" s="128" t="s">
        <v>177</v>
      </c>
      <c r="D11" s="129">
        <v>99952</v>
      </c>
      <c r="E11" s="128" t="s">
        <v>185</v>
      </c>
    </row>
    <row r="12" spans="1:5" ht="15" customHeight="1">
      <c r="A12" s="127">
        <v>42478</v>
      </c>
      <c r="B12" s="121">
        <v>211</v>
      </c>
      <c r="C12" s="128" t="s">
        <v>177</v>
      </c>
      <c r="D12" s="129">
        <v>36000</v>
      </c>
      <c r="E12" s="128" t="s">
        <v>186</v>
      </c>
    </row>
    <row r="13" spans="1:5" ht="15" customHeight="1">
      <c r="A13" s="127">
        <v>42478</v>
      </c>
      <c r="B13" s="121">
        <v>211</v>
      </c>
      <c r="C13" s="128" t="s">
        <v>177</v>
      </c>
      <c r="D13" s="129">
        <v>14336.64</v>
      </c>
      <c r="E13" s="128" t="s">
        <v>187</v>
      </c>
    </row>
    <row r="14" spans="1:5" ht="15" customHeight="1">
      <c r="A14" s="127">
        <v>42478</v>
      </c>
      <c r="B14" s="121">
        <v>211</v>
      </c>
      <c r="C14" s="128" t="s">
        <v>177</v>
      </c>
      <c r="D14" s="129">
        <v>24500</v>
      </c>
      <c r="E14" s="128" t="s">
        <v>188</v>
      </c>
    </row>
    <row r="15" spans="1:5" ht="15" customHeight="1">
      <c r="A15" s="127">
        <v>42478</v>
      </c>
      <c r="B15" s="121">
        <v>211</v>
      </c>
      <c r="C15" s="128" t="s">
        <v>177</v>
      </c>
      <c r="D15" s="129">
        <v>25400</v>
      </c>
      <c r="E15" s="128" t="s">
        <v>189</v>
      </c>
    </row>
    <row r="16" spans="1:5" ht="15" customHeight="1">
      <c r="A16" s="127">
        <v>42478</v>
      </c>
      <c r="B16" s="121">
        <v>211</v>
      </c>
      <c r="C16" s="128" t="s">
        <v>177</v>
      </c>
      <c r="D16" s="129">
        <v>17900</v>
      </c>
      <c r="E16" s="128" t="s">
        <v>190</v>
      </c>
    </row>
    <row r="17" spans="1:5" ht="15" customHeight="1">
      <c r="A17" s="127">
        <v>42478</v>
      </c>
      <c r="B17" s="121">
        <v>211</v>
      </c>
      <c r="C17" s="128" t="s">
        <v>177</v>
      </c>
      <c r="D17" s="129">
        <v>21197.36</v>
      </c>
      <c r="E17" s="128" t="s">
        <v>191</v>
      </c>
    </row>
    <row r="18" spans="1:5" ht="15" customHeight="1">
      <c r="A18" s="127">
        <v>42478</v>
      </c>
      <c r="B18" s="121">
        <v>211</v>
      </c>
      <c r="C18" s="128" t="s">
        <v>177</v>
      </c>
      <c r="D18" s="129">
        <v>19250</v>
      </c>
      <c r="E18" s="128" t="s">
        <v>192</v>
      </c>
    </row>
    <row r="19" spans="1:5" ht="15" customHeight="1">
      <c r="A19" s="127">
        <v>42478</v>
      </c>
      <c r="B19" s="121">
        <v>211</v>
      </c>
      <c r="C19" s="128" t="s">
        <v>177</v>
      </c>
      <c r="D19" s="129">
        <v>16500</v>
      </c>
      <c r="E19" s="128" t="s">
        <v>193</v>
      </c>
    </row>
    <row r="20" spans="1:5" ht="15" customHeight="1">
      <c r="A20" s="127">
        <v>42478</v>
      </c>
      <c r="B20" s="121">
        <v>223</v>
      </c>
      <c r="C20" s="128" t="s">
        <v>177</v>
      </c>
      <c r="D20" s="129">
        <v>13200</v>
      </c>
      <c r="E20" s="128" t="s">
        <v>199</v>
      </c>
    </row>
    <row r="21" spans="1:5" ht="15" customHeight="1">
      <c r="A21" s="127">
        <v>42479</v>
      </c>
      <c r="B21" s="121">
        <v>2394</v>
      </c>
      <c r="C21" s="128" t="s">
        <v>178</v>
      </c>
      <c r="D21" s="129">
        <v>2100</v>
      </c>
      <c r="E21" s="128" t="s">
        <v>194</v>
      </c>
    </row>
    <row r="22" spans="1:5" ht="15" customHeight="1">
      <c r="A22" s="127">
        <v>42493</v>
      </c>
      <c r="B22" s="121"/>
      <c r="C22" s="128" t="s">
        <v>178</v>
      </c>
      <c r="D22" s="129">
        <v>2100</v>
      </c>
      <c r="E22" s="128" t="s">
        <v>194</v>
      </c>
    </row>
    <row r="23" spans="1:5" ht="15" customHeight="1">
      <c r="A23" s="127">
        <v>42493</v>
      </c>
      <c r="B23" s="121">
        <v>2426</v>
      </c>
      <c r="C23" s="128" t="s">
        <v>178</v>
      </c>
      <c r="D23" s="129">
        <v>-2100</v>
      </c>
      <c r="E23" s="131" t="s">
        <v>195</v>
      </c>
    </row>
    <row r="24" spans="1:5" ht="15" customHeight="1">
      <c r="A24" s="127">
        <v>42494</v>
      </c>
      <c r="B24" s="121">
        <v>57573</v>
      </c>
      <c r="C24" s="128" t="s">
        <v>179</v>
      </c>
      <c r="D24" s="129">
        <v>2399</v>
      </c>
      <c r="E24" s="128" t="s">
        <v>196</v>
      </c>
    </row>
    <row r="25" spans="1:5" ht="15" customHeight="1">
      <c r="A25" s="127">
        <v>42494</v>
      </c>
      <c r="B25" s="121">
        <v>57572</v>
      </c>
      <c r="C25" s="128" t="s">
        <v>179</v>
      </c>
      <c r="D25" s="129">
        <v>10890</v>
      </c>
      <c r="E25" s="128" t="s">
        <v>197</v>
      </c>
    </row>
    <row r="26" spans="1:5" ht="15" customHeight="1">
      <c r="A26" s="127">
        <v>42496</v>
      </c>
      <c r="B26" s="121">
        <v>2443</v>
      </c>
      <c r="C26" s="128" t="s">
        <v>178</v>
      </c>
      <c r="D26" s="129">
        <v>2100</v>
      </c>
      <c r="E26" s="128" t="s">
        <v>194</v>
      </c>
    </row>
    <row r="28" ht="12.75">
      <c r="D28" s="133">
        <f>SUM(D6:D26)</f>
        <v>483679</v>
      </c>
    </row>
  </sheetData>
  <sheetProtection/>
  <mergeCells count="1">
    <mergeCell ref="A3:E3"/>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AG109"/>
  <sheetViews>
    <sheetView tabSelected="1" zoomScalePageLayoutView="0" workbookViewId="0" topLeftCell="B60">
      <selection activeCell="G102" sqref="G102"/>
    </sheetView>
  </sheetViews>
  <sheetFormatPr defaultColWidth="9.140625" defaultRowHeight="12.75"/>
  <cols>
    <col min="1" max="1" width="2.140625" style="5" customWidth="1"/>
    <col min="2" max="2" width="1.28515625" style="5" customWidth="1"/>
    <col min="3" max="3" width="2.140625" style="5" customWidth="1"/>
    <col min="4" max="4" width="36.00390625" style="5" customWidth="1"/>
    <col min="5" max="5" width="13.57421875" style="5" hidden="1" customWidth="1"/>
    <col min="6" max="6" width="12.00390625" style="5" hidden="1" customWidth="1"/>
    <col min="7" max="7" width="15.7109375" style="5" customWidth="1"/>
    <col min="8" max="8" width="12.00390625" style="5" bestFit="1" customWidth="1"/>
    <col min="9" max="9" width="15.28125" style="5" customWidth="1"/>
    <col min="10" max="10" width="12.00390625" style="5" bestFit="1" customWidth="1"/>
    <col min="11" max="11" width="13.57421875" style="5" customWidth="1"/>
    <col min="12" max="12" width="12.00390625" style="5" customWidth="1"/>
    <col min="13" max="13" width="13.57421875" style="5" customWidth="1"/>
    <col min="14" max="14" width="12.00390625" style="5" customWidth="1"/>
    <col min="15" max="15" width="13.57421875" style="5" customWidth="1"/>
    <col min="16" max="16" width="12.00390625" style="5" customWidth="1"/>
    <col min="17" max="17" width="13.57421875" style="5" customWidth="1"/>
    <col min="18" max="18" width="9.7109375" style="5" customWidth="1"/>
    <col min="19" max="19" width="13.57421875" style="5" customWidth="1"/>
    <col min="20" max="20" width="12.00390625" style="5" customWidth="1"/>
    <col min="21" max="21" width="13.57421875" style="5" customWidth="1"/>
    <col min="22" max="22" width="11.28125" style="5" customWidth="1"/>
    <col min="23" max="23" width="13.57421875" style="5" customWidth="1"/>
    <col min="24" max="24" width="12.00390625" style="5" customWidth="1"/>
    <col min="25" max="25" width="13.57421875" style="5" customWidth="1"/>
    <col min="26" max="26" width="12.00390625" style="5" customWidth="1"/>
    <col min="27" max="27" width="13.57421875" style="52" customWidth="1"/>
    <col min="28" max="28" width="12.00390625" style="52" customWidth="1"/>
    <col min="29" max="29" width="5.7109375" style="5" customWidth="1"/>
    <col min="30" max="33" width="10.28125" style="5" bestFit="1" customWidth="1"/>
    <col min="34" max="16384" width="9.140625" style="5" customWidth="1"/>
  </cols>
  <sheetData>
    <row r="1" spans="1:28" ht="12.75">
      <c r="A1" s="225" t="s">
        <v>55</v>
      </c>
      <c r="B1" s="226"/>
      <c r="C1" s="226"/>
      <c r="D1" s="226"/>
      <c r="E1" s="226"/>
      <c r="F1" s="226"/>
      <c r="G1" s="226"/>
      <c r="H1" s="226"/>
      <c r="I1" s="226"/>
      <c r="J1" s="226"/>
      <c r="K1" s="226"/>
      <c r="L1" s="226"/>
      <c r="M1" s="226"/>
      <c r="N1" s="226"/>
      <c r="O1" s="226"/>
      <c r="P1" s="226"/>
      <c r="Q1" s="226"/>
      <c r="R1" s="226"/>
      <c r="S1" s="226"/>
      <c r="T1" s="226"/>
      <c r="U1" s="226"/>
      <c r="V1" s="226"/>
      <c r="W1" s="227"/>
      <c r="X1" s="227"/>
      <c r="Y1" s="227"/>
      <c r="Z1" s="227"/>
      <c r="AA1" s="227"/>
      <c r="AB1" s="228"/>
    </row>
    <row r="2" spans="1:28" ht="12.75">
      <c r="A2" s="229" t="s">
        <v>292</v>
      </c>
      <c r="B2" s="108"/>
      <c r="C2" s="108"/>
      <c r="D2" s="108"/>
      <c r="E2" s="108"/>
      <c r="F2" s="108"/>
      <c r="G2" s="108"/>
      <c r="H2" s="108"/>
      <c r="I2" s="108"/>
      <c r="J2" s="108"/>
      <c r="K2" s="108"/>
      <c r="L2" s="108"/>
      <c r="M2" s="108"/>
      <c r="N2" s="108"/>
      <c r="O2" s="108"/>
      <c r="P2" s="108"/>
      <c r="Q2" s="108"/>
      <c r="R2" s="108"/>
      <c r="S2" s="108"/>
      <c r="T2" s="108"/>
      <c r="U2" s="108"/>
      <c r="V2" s="108"/>
      <c r="W2" s="142"/>
      <c r="X2" s="142"/>
      <c r="Y2" s="142"/>
      <c r="Z2" s="142"/>
      <c r="AA2" s="142"/>
      <c r="AB2" s="230"/>
    </row>
    <row r="3" spans="1:28" ht="12.75">
      <c r="A3" s="231" t="s">
        <v>27</v>
      </c>
      <c r="B3" s="109"/>
      <c r="C3" s="109"/>
      <c r="D3" s="109"/>
      <c r="E3" s="109"/>
      <c r="F3" s="109"/>
      <c r="G3" s="109"/>
      <c r="H3" s="109"/>
      <c r="I3" s="109"/>
      <c r="J3" s="109"/>
      <c r="K3" s="109"/>
      <c r="L3" s="109"/>
      <c r="M3" s="109"/>
      <c r="N3" s="109"/>
      <c r="O3" s="109"/>
      <c r="P3" s="109"/>
      <c r="Q3" s="109"/>
      <c r="R3" s="109"/>
      <c r="S3" s="109"/>
      <c r="T3" s="109"/>
      <c r="U3" s="109"/>
      <c r="V3" s="109"/>
      <c r="W3" s="115"/>
      <c r="X3" s="115"/>
      <c r="Y3" s="115"/>
      <c r="Z3" s="115"/>
      <c r="AA3" s="115"/>
      <c r="AB3" s="232"/>
    </row>
    <row r="4" spans="1:28" ht="12.75">
      <c r="A4" s="231" t="s">
        <v>0</v>
      </c>
      <c r="B4" s="134"/>
      <c r="C4" s="134"/>
      <c r="D4" s="135"/>
      <c r="E4" s="179">
        <v>44195</v>
      </c>
      <c r="F4" s="180" t="s">
        <v>134</v>
      </c>
      <c r="G4" s="179">
        <v>44165</v>
      </c>
      <c r="H4" s="180" t="s">
        <v>134</v>
      </c>
      <c r="I4" s="179">
        <v>44134</v>
      </c>
      <c r="J4" s="180" t="s">
        <v>134</v>
      </c>
      <c r="K4" s="179">
        <v>44104</v>
      </c>
      <c r="L4" s="180" t="s">
        <v>134</v>
      </c>
      <c r="M4" s="179">
        <v>44074</v>
      </c>
      <c r="N4" s="180" t="s">
        <v>134</v>
      </c>
      <c r="O4" s="179">
        <v>44013</v>
      </c>
      <c r="P4" s="180" t="s">
        <v>134</v>
      </c>
      <c r="Q4" s="179">
        <v>43983</v>
      </c>
      <c r="R4" s="180" t="s">
        <v>134</v>
      </c>
      <c r="S4" s="179">
        <v>43952</v>
      </c>
      <c r="T4" s="180" t="s">
        <v>134</v>
      </c>
      <c r="U4" s="179">
        <v>43922</v>
      </c>
      <c r="V4" s="180" t="s">
        <v>134</v>
      </c>
      <c r="W4" s="179">
        <v>43891</v>
      </c>
      <c r="X4" s="180" t="s">
        <v>134</v>
      </c>
      <c r="Y4" s="179">
        <v>43862</v>
      </c>
      <c r="Z4" s="180" t="s">
        <v>134</v>
      </c>
      <c r="AA4" s="179">
        <v>43831</v>
      </c>
      <c r="AB4" s="233" t="s">
        <v>134</v>
      </c>
    </row>
    <row r="5" spans="1:28" ht="12.75">
      <c r="A5" s="76"/>
      <c r="B5" s="1"/>
      <c r="C5" s="1"/>
      <c r="D5" s="55"/>
      <c r="E5" s="63"/>
      <c r="F5" s="170"/>
      <c r="G5" s="63"/>
      <c r="H5" s="170"/>
      <c r="I5" s="63"/>
      <c r="J5" s="170"/>
      <c r="K5" s="63"/>
      <c r="L5" s="170"/>
      <c r="M5" s="63"/>
      <c r="N5" s="170"/>
      <c r="O5" s="63"/>
      <c r="P5" s="170"/>
      <c r="Q5" s="63"/>
      <c r="R5" s="170"/>
      <c r="S5" s="63"/>
      <c r="T5" s="170"/>
      <c r="U5" s="63"/>
      <c r="V5" s="170"/>
      <c r="W5" s="63"/>
      <c r="X5" s="170"/>
      <c r="Y5" s="63"/>
      <c r="Z5" s="170"/>
      <c r="AA5" s="63"/>
      <c r="AB5" s="234"/>
    </row>
    <row r="6" spans="1:32" ht="15">
      <c r="A6" s="80" t="s">
        <v>2</v>
      </c>
      <c r="B6" s="4"/>
      <c r="C6" s="4"/>
      <c r="D6" s="56"/>
      <c r="E6" s="64">
        <f>E8+E34</f>
        <v>0</v>
      </c>
      <c r="F6" s="137" t="e">
        <f>+E6/E$6</f>
        <v>#DIV/0!</v>
      </c>
      <c r="G6" s="64">
        <f>G8+G34</f>
        <v>9318167.86</v>
      </c>
      <c r="H6" s="137">
        <f>+G6/G$6</f>
        <v>1</v>
      </c>
      <c r="I6" s="64">
        <f>I8+I34</f>
        <v>9409191.12</v>
      </c>
      <c r="J6" s="137">
        <f>+I6/I$6</f>
        <v>1</v>
      </c>
      <c r="K6" s="64">
        <f>K8+K34</f>
        <v>9385506.3</v>
      </c>
      <c r="L6" s="137">
        <f>+K6/K$6</f>
        <v>1</v>
      </c>
      <c r="M6" s="64">
        <f>M8+M34</f>
        <v>9373471.409999998</v>
      </c>
      <c r="N6" s="137">
        <f>+M6/M$6</f>
        <v>1</v>
      </c>
      <c r="O6" s="64">
        <f>O8+O34</f>
        <v>9328238.73</v>
      </c>
      <c r="P6" s="137">
        <f>+O6/O$6</f>
        <v>1</v>
      </c>
      <c r="Q6" s="64">
        <f>Q8+Q34</f>
        <v>9355575.95</v>
      </c>
      <c r="R6" s="137">
        <f>+Q6/Q$6</f>
        <v>1</v>
      </c>
      <c r="S6" s="64">
        <f>S8+S34</f>
        <v>9221345.36</v>
      </c>
      <c r="T6" s="137">
        <f>+S6/S$6</f>
        <v>1</v>
      </c>
      <c r="U6" s="64">
        <f>U8+U34</f>
        <v>9163664.719999999</v>
      </c>
      <c r="V6" s="137">
        <f>+U6/U$6</f>
        <v>1</v>
      </c>
      <c r="W6" s="64">
        <f>W8+W34</f>
        <v>9212095.91</v>
      </c>
      <c r="X6" s="137">
        <f>+W6/W$6</f>
        <v>1</v>
      </c>
      <c r="Y6" s="64">
        <f>Y8+Y34</f>
        <v>9358248.45</v>
      </c>
      <c r="Z6" s="137">
        <f>+Y6/Y$6</f>
        <v>1</v>
      </c>
      <c r="AA6" s="64">
        <f>AA8+AA34</f>
        <v>9382384.309999999</v>
      </c>
      <c r="AB6" s="235">
        <f>+AA6/AA$6</f>
        <v>1</v>
      </c>
      <c r="AF6" s="186"/>
    </row>
    <row r="7" spans="1:28" ht="14.25">
      <c r="A7" s="84"/>
      <c r="B7" s="1"/>
      <c r="C7" s="1"/>
      <c r="D7" s="55"/>
      <c r="E7" s="63"/>
      <c r="F7" s="170"/>
      <c r="G7" s="63"/>
      <c r="H7" s="170"/>
      <c r="I7" s="63"/>
      <c r="J7" s="170"/>
      <c r="K7" s="63"/>
      <c r="L7" s="170"/>
      <c r="M7" s="63"/>
      <c r="N7" s="170"/>
      <c r="O7" s="63"/>
      <c r="P7" s="170"/>
      <c r="Q7" s="63"/>
      <c r="R7" s="170"/>
      <c r="S7" s="63"/>
      <c r="T7" s="170"/>
      <c r="U7" s="63"/>
      <c r="V7" s="170"/>
      <c r="W7" s="63"/>
      <c r="X7" s="170"/>
      <c r="Y7" s="63"/>
      <c r="Z7" s="170"/>
      <c r="AA7" s="63"/>
      <c r="AB7" s="234"/>
    </row>
    <row r="8" spans="1:33" ht="12.75">
      <c r="A8" s="76"/>
      <c r="B8" s="4" t="s">
        <v>3</v>
      </c>
      <c r="C8" s="4"/>
      <c r="D8" s="56"/>
      <c r="E8" s="64">
        <f>E10+E15+E27+E31</f>
        <v>0</v>
      </c>
      <c r="F8" s="137" t="e">
        <f>+E8/E$6</f>
        <v>#DIV/0!</v>
      </c>
      <c r="G8" s="64">
        <f>G10+G15+G27+G31</f>
        <v>1773393.2000000002</v>
      </c>
      <c r="H8" s="137">
        <f>+G8/G$6</f>
        <v>0.1903156528884424</v>
      </c>
      <c r="I8" s="64">
        <f>I10+I15+I27+I31</f>
        <v>1873101.0499999996</v>
      </c>
      <c r="J8" s="137">
        <f>+I8/I$6</f>
        <v>0.19907142134870354</v>
      </c>
      <c r="K8" s="64">
        <f>K10+K15+K27+K31</f>
        <v>1843360.04</v>
      </c>
      <c r="L8" s="137">
        <f>+K8/K$6</f>
        <v>0.19640496538796207</v>
      </c>
      <c r="M8" s="64">
        <f>M10+M15+M27+M31</f>
        <v>1829401.3699999999</v>
      </c>
      <c r="N8" s="137">
        <f>+M8/M$6</f>
        <v>0.19516796819247995</v>
      </c>
      <c r="O8" s="64">
        <f>O10+O15+O27+O31</f>
        <v>1802783.5500000003</v>
      </c>
      <c r="P8" s="137">
        <f>+O8/O$6</f>
        <v>0.19326087187307653</v>
      </c>
      <c r="Q8" s="64">
        <f>Q10+Q15+Q27+Q31</f>
        <v>1772096.0699999998</v>
      </c>
      <c r="R8" s="137">
        <f>+Q8/Q$6</f>
        <v>0.18941603162336573</v>
      </c>
      <c r="S8" s="64">
        <f>S10+S15+S27+S31</f>
        <v>1593871.3</v>
      </c>
      <c r="T8" s="137">
        <f>+S8/S$6</f>
        <v>0.17284585250584306</v>
      </c>
      <c r="U8" s="64">
        <f>U10+U15+U27+U31</f>
        <v>1495920.45</v>
      </c>
      <c r="V8" s="137">
        <f>+U8/U$6</f>
        <v>0.16324478205047208</v>
      </c>
      <c r="W8" s="64">
        <f>W10+W15+W27+W31</f>
        <v>1509109.7799999996</v>
      </c>
      <c r="X8" s="137">
        <f>+W8/W$6</f>
        <v>0.1638182879057758</v>
      </c>
      <c r="Y8" s="64">
        <f>Y10+Y15+Y27+Y31</f>
        <v>1682147.28</v>
      </c>
      <c r="Z8" s="137">
        <f>+Y8/Y$6</f>
        <v>0.179750226656998</v>
      </c>
      <c r="AA8" s="64">
        <f>AA10+AA15+AA27+AA31</f>
        <v>1690756.1399999997</v>
      </c>
      <c r="AB8" s="235">
        <f>+AA8/AA$6</f>
        <v>0.18020538107759518</v>
      </c>
      <c r="AG8" s="186"/>
    </row>
    <row r="9" spans="1:28" ht="12.75">
      <c r="A9" s="76"/>
      <c r="B9" s="1"/>
      <c r="C9" s="1"/>
      <c r="D9" s="55"/>
      <c r="E9" s="63"/>
      <c r="F9" s="170"/>
      <c r="G9" s="63"/>
      <c r="H9" s="170"/>
      <c r="I9" s="63"/>
      <c r="J9" s="170"/>
      <c r="K9" s="63"/>
      <c r="L9" s="170"/>
      <c r="M9" s="63"/>
      <c r="N9" s="170"/>
      <c r="O9" s="63"/>
      <c r="P9" s="170"/>
      <c r="Q9" s="63"/>
      <c r="R9" s="170"/>
      <c r="S9" s="63"/>
      <c r="T9" s="170"/>
      <c r="U9" s="63"/>
      <c r="V9" s="170"/>
      <c r="W9" s="63"/>
      <c r="X9" s="170"/>
      <c r="Y9" s="63"/>
      <c r="Z9" s="170"/>
      <c r="AA9" s="63"/>
      <c r="AB9" s="234"/>
    </row>
    <row r="10" spans="1:31" ht="12.75">
      <c r="A10" s="76"/>
      <c r="B10" s="1"/>
      <c r="C10" s="4" t="s">
        <v>4</v>
      </c>
      <c r="D10" s="55"/>
      <c r="E10" s="64">
        <f>E11+E12+E13</f>
        <v>0</v>
      </c>
      <c r="F10" s="137" t="e">
        <f>+E10/E$6</f>
        <v>#DIV/0!</v>
      </c>
      <c r="G10" s="64">
        <f>G11+G12+G13</f>
        <v>24360.87</v>
      </c>
      <c r="H10" s="137">
        <f>+G10/G$6</f>
        <v>0.0026143411844482484</v>
      </c>
      <c r="I10" s="64">
        <f>I11+I12+I13</f>
        <v>42852.73</v>
      </c>
      <c r="J10" s="137">
        <f>+I10/I$6</f>
        <v>0.004554347919335282</v>
      </c>
      <c r="K10" s="64">
        <f>K11+K12+K13</f>
        <v>10334.5</v>
      </c>
      <c r="L10" s="137">
        <f>+K10/K$6</f>
        <v>0.0011011126805167664</v>
      </c>
      <c r="M10" s="64">
        <f>M11+M12+M13</f>
        <v>3990.4800000000005</v>
      </c>
      <c r="N10" s="137">
        <f>+M10/M$6</f>
        <v>0.0004257206135757554</v>
      </c>
      <c r="O10" s="64">
        <f>O11+O12+O13</f>
        <v>6342.860000000001</v>
      </c>
      <c r="P10" s="137">
        <f>+O10/O$6</f>
        <v>0.0006799633010678748</v>
      </c>
      <c r="Q10" s="64">
        <f>Q11+Q12+Q13</f>
        <v>12870.89</v>
      </c>
      <c r="R10" s="137">
        <f>+Q10/Q$6</f>
        <v>0.0013757453382653583</v>
      </c>
      <c r="S10" s="64">
        <f>S11+S12+S13</f>
        <v>3468.62</v>
      </c>
      <c r="T10" s="137">
        <f>+S10/S$6</f>
        <v>0.0003761511866854101</v>
      </c>
      <c r="U10" s="64">
        <f>U11+U12+U13</f>
        <v>3293.5299999999997</v>
      </c>
      <c r="V10" s="137">
        <f>+U10/U$6</f>
        <v>0.0003594118838516388</v>
      </c>
      <c r="W10" s="64">
        <f>W11+W12+W13</f>
        <v>51180.21</v>
      </c>
      <c r="X10" s="137">
        <f>+W10/W$6</f>
        <v>0.005555761739784144</v>
      </c>
      <c r="Y10" s="64">
        <f>Y11+Y12+Y13</f>
        <v>151824.75</v>
      </c>
      <c r="Z10" s="137">
        <f>+Y10/Y$6</f>
        <v>0.016223628899273347</v>
      </c>
      <c r="AA10" s="64">
        <f>AA11+AA12+AA13</f>
        <v>88745.6</v>
      </c>
      <c r="AB10" s="235">
        <f>+AA10/AA$6</f>
        <v>0.00945874705914706</v>
      </c>
      <c r="AE10" s="186"/>
    </row>
    <row r="11" spans="1:28" ht="12.75">
      <c r="A11" s="76"/>
      <c r="B11" s="1"/>
      <c r="C11" s="1"/>
      <c r="D11" s="55" t="s">
        <v>202</v>
      </c>
      <c r="E11" s="63"/>
      <c r="F11" s="136" t="e">
        <f>+E11/E$6</f>
        <v>#DIV/0!</v>
      </c>
      <c r="G11" s="63">
        <v>4317.27</v>
      </c>
      <c r="H11" s="136">
        <f>+G11/G$6</f>
        <v>0.0004633174745147809</v>
      </c>
      <c r="I11" s="63">
        <v>4867.58</v>
      </c>
      <c r="J11" s="136">
        <f>+I11/I$6</f>
        <v>0.000517321833292722</v>
      </c>
      <c r="K11" s="63">
        <v>2693.83</v>
      </c>
      <c r="L11" s="136">
        <f>+K11/K$6</f>
        <v>0.00028702021115259386</v>
      </c>
      <c r="M11" s="63">
        <v>2272.03</v>
      </c>
      <c r="N11" s="136">
        <f>+M11/M$6</f>
        <v>0.00024238938815945038</v>
      </c>
      <c r="O11" s="63">
        <v>2671.28</v>
      </c>
      <c r="P11" s="136">
        <f>+O11/O$6</f>
        <v>0.0002863648838026683</v>
      </c>
      <c r="Q11" s="63">
        <v>3578.48</v>
      </c>
      <c r="R11" s="136">
        <f>+Q11/Q$6</f>
        <v>0.0003824970284165135</v>
      </c>
      <c r="S11" s="63">
        <v>2834.54</v>
      </c>
      <c r="T11" s="136">
        <f>+S11/S$6</f>
        <v>0.00030738898602535367</v>
      </c>
      <c r="U11" s="63">
        <v>2537.99</v>
      </c>
      <c r="V11" s="136">
        <f>+U11/U$6</f>
        <v>0.0002769623373998782</v>
      </c>
      <c r="W11" s="63">
        <v>2284.99</v>
      </c>
      <c r="X11" s="136">
        <f>+W11/W$6</f>
        <v>0.00024804235890765926</v>
      </c>
      <c r="Y11" s="63">
        <v>4430.99</v>
      </c>
      <c r="Z11" s="136">
        <f>+Y11/Y$6</f>
        <v>0.0004734849714318068</v>
      </c>
      <c r="AA11" s="63">
        <v>6269.16</v>
      </c>
      <c r="AB11" s="236">
        <f>+AA11/AA$6</f>
        <v>0.0006681840982913224</v>
      </c>
    </row>
    <row r="12" spans="1:28" ht="12.75">
      <c r="A12" s="76"/>
      <c r="B12" s="1"/>
      <c r="C12" s="1"/>
      <c r="D12" s="55" t="s">
        <v>5</v>
      </c>
      <c r="E12" s="63"/>
      <c r="F12" s="136" t="e">
        <f>+E12/E$6</f>
        <v>#DIV/0!</v>
      </c>
      <c r="G12" s="63">
        <v>19836.98</v>
      </c>
      <c r="H12" s="136">
        <f>+G12/G$6</f>
        <v>0.00212884982305953</v>
      </c>
      <c r="I12" s="63">
        <v>37780.14</v>
      </c>
      <c r="J12" s="136">
        <f>+I12/I$6</f>
        <v>0.004015237815681653</v>
      </c>
      <c r="K12" s="63">
        <v>7435.66</v>
      </c>
      <c r="L12" s="136">
        <f>+K12/K$6</f>
        <v>0.0007922492151542212</v>
      </c>
      <c r="M12" s="63">
        <v>1513.44</v>
      </c>
      <c r="N12" s="136">
        <f>+M12/M$6</f>
        <v>0.00016145992597634652</v>
      </c>
      <c r="O12" s="63">
        <f>3307.82+158.75</f>
        <v>3466.57</v>
      </c>
      <c r="P12" s="136">
        <f>+O12/O$6</f>
        <v>0.00037162106377609827</v>
      </c>
      <c r="Q12" s="63">
        <v>9087.4</v>
      </c>
      <c r="R12" s="136">
        <f>+Q12/Q$6</f>
        <v>0.0009713351747200556</v>
      </c>
      <c r="S12" s="63">
        <v>429.07</v>
      </c>
      <c r="T12" s="136">
        <f>+S12/S$6</f>
        <v>4.653008679852763E-05</v>
      </c>
      <c r="U12" s="63">
        <v>550.53</v>
      </c>
      <c r="V12" s="136">
        <f>+U12/U$6</f>
        <v>6.007749266496516E-05</v>
      </c>
      <c r="W12" s="63">
        <v>48895.22</v>
      </c>
      <c r="X12" s="136">
        <f>+W12/W$6</f>
        <v>0.005307719380876485</v>
      </c>
      <c r="Y12" s="63">
        <f>144951.53+2442.23</f>
        <v>147393.76</v>
      </c>
      <c r="Z12" s="136">
        <f>+Y12/Y$6</f>
        <v>0.01575014392784154</v>
      </c>
      <c r="AA12" s="63">
        <v>82476.44</v>
      </c>
      <c r="AB12" s="236">
        <f>+AA12/AA$6</f>
        <v>0.008790562960855737</v>
      </c>
    </row>
    <row r="13" spans="1:28" ht="12.75">
      <c r="A13" s="76"/>
      <c r="B13" s="1"/>
      <c r="C13" s="1"/>
      <c r="D13" s="55" t="s">
        <v>6</v>
      </c>
      <c r="E13" s="63"/>
      <c r="F13" s="136" t="e">
        <f>+E13/E$6</f>
        <v>#DIV/0!</v>
      </c>
      <c r="G13" s="63">
        <v>206.62</v>
      </c>
      <c r="H13" s="136">
        <f>+G13/G$6</f>
        <v>2.217388687393747E-05</v>
      </c>
      <c r="I13" s="63">
        <v>205.01</v>
      </c>
      <c r="J13" s="136">
        <f>+I13/I$6</f>
        <v>2.1788270360906435E-05</v>
      </c>
      <c r="K13" s="63">
        <v>205.01</v>
      </c>
      <c r="L13" s="136">
        <f>+K13/K$6</f>
        <v>2.1843254209951355E-05</v>
      </c>
      <c r="M13" s="63">
        <v>205.01</v>
      </c>
      <c r="N13" s="136">
        <f>+M13/M$6</f>
        <v>2.18712994399585E-05</v>
      </c>
      <c r="O13" s="63">
        <v>205.01</v>
      </c>
      <c r="P13" s="136">
        <f>+O13/O$6</f>
        <v>2.1977353489108224E-05</v>
      </c>
      <c r="Q13" s="63">
        <v>205.01</v>
      </c>
      <c r="R13" s="136">
        <f>+Q13/Q$6</f>
        <v>2.191313512878916E-05</v>
      </c>
      <c r="S13" s="63">
        <v>205.01</v>
      </c>
      <c r="T13" s="136">
        <f>+S13/S$6</f>
        <v>2.223211386152877E-05</v>
      </c>
      <c r="U13" s="63">
        <v>205.01</v>
      </c>
      <c r="V13" s="136">
        <f>+U13/U$6</f>
        <v>2.2372053786795468E-05</v>
      </c>
      <c r="W13" s="63"/>
      <c r="X13" s="136">
        <f>+W13/W$6</f>
        <v>0</v>
      </c>
      <c r="Y13" s="63"/>
      <c r="Z13" s="136">
        <f>+Y13/Y$6</f>
        <v>0</v>
      </c>
      <c r="AA13" s="63">
        <v>0</v>
      </c>
      <c r="AB13" s="236">
        <f>+AA13/AA$6</f>
        <v>0</v>
      </c>
    </row>
    <row r="14" spans="1:28" ht="12.75">
      <c r="A14" s="76"/>
      <c r="B14" s="1"/>
      <c r="C14" s="1"/>
      <c r="D14" s="55"/>
      <c r="E14" s="63"/>
      <c r="F14" s="136" t="s">
        <v>111</v>
      </c>
      <c r="G14" s="63"/>
      <c r="H14" s="136" t="s">
        <v>111</v>
      </c>
      <c r="I14" s="63"/>
      <c r="J14" s="136" t="s">
        <v>111</v>
      </c>
      <c r="K14" s="63"/>
      <c r="L14" s="136" t="s">
        <v>111</v>
      </c>
      <c r="M14" s="63"/>
      <c r="N14" s="136" t="s">
        <v>111</v>
      </c>
      <c r="O14" s="63"/>
      <c r="P14" s="136" t="s">
        <v>111</v>
      </c>
      <c r="Q14" s="63"/>
      <c r="R14" s="136" t="s">
        <v>111</v>
      </c>
      <c r="S14" s="63"/>
      <c r="T14" s="136" t="s">
        <v>111</v>
      </c>
      <c r="U14" s="63"/>
      <c r="V14" s="136" t="s">
        <v>111</v>
      </c>
      <c r="W14" s="63"/>
      <c r="X14" s="136" t="s">
        <v>111</v>
      </c>
      <c r="Y14" s="63"/>
      <c r="Z14" s="136" t="s">
        <v>111</v>
      </c>
      <c r="AA14" s="63"/>
      <c r="AB14" s="236" t="s">
        <v>111</v>
      </c>
    </row>
    <row r="15" spans="1:28" ht="12.75">
      <c r="A15" s="76"/>
      <c r="B15" s="1"/>
      <c r="C15" s="4" t="s">
        <v>7</v>
      </c>
      <c r="D15" s="55"/>
      <c r="E15" s="64">
        <f>SUM(E16:E25)</f>
        <v>0</v>
      </c>
      <c r="F15" s="137" t="e">
        <f aca="true" t="shared" si="0" ref="F15:F25">+E15/E$6</f>
        <v>#DIV/0!</v>
      </c>
      <c r="G15" s="64">
        <f>SUM(G16:G25)</f>
        <v>1694243.1300000001</v>
      </c>
      <c r="H15" s="137">
        <f aca="true" t="shared" si="1" ref="H15:H25">+G15/G$6</f>
        <v>0.1818214863109367</v>
      </c>
      <c r="I15" s="64">
        <f>SUM(I16:I25)</f>
        <v>1774729.5199999998</v>
      </c>
      <c r="J15" s="137">
        <f aca="true" t="shared" si="2" ref="J15:J25">+I15/I$6</f>
        <v>0.18861658747983853</v>
      </c>
      <c r="K15" s="64">
        <f>SUM(K16:K25)</f>
        <v>1776752.82</v>
      </c>
      <c r="L15" s="137">
        <f aca="true" t="shared" si="3" ref="L15:L25">+K15/K$6</f>
        <v>0.18930814845865054</v>
      </c>
      <c r="M15" s="64">
        <f>SUM(M16:M25)</f>
        <v>1768408.57</v>
      </c>
      <c r="N15" s="137">
        <f aca="true" t="shared" si="4" ref="N15:P25">+M15/M$6</f>
        <v>0.18866100856864942</v>
      </c>
      <c r="O15" s="64">
        <f>SUM(O16:O25)</f>
        <v>1738684.4500000002</v>
      </c>
      <c r="P15" s="137">
        <f t="shared" si="4"/>
        <v>0.18638936034176734</v>
      </c>
      <c r="Q15" s="64">
        <f>SUM(Q16:Q25)</f>
        <v>1708173.51</v>
      </c>
      <c r="R15" s="137">
        <f aca="true" t="shared" si="5" ref="R15:R25">+Q15/Q$6</f>
        <v>0.1825834688456567</v>
      </c>
      <c r="S15" s="64">
        <f>SUM(S16:S25)</f>
        <v>1538497.21</v>
      </c>
      <c r="T15" s="137">
        <f aca="true" t="shared" si="6" ref="T15:T25">+S15/S$6</f>
        <v>0.16684086214508725</v>
      </c>
      <c r="U15" s="64">
        <f>SUM(U16:U25)</f>
        <v>1439658.78</v>
      </c>
      <c r="V15" s="137">
        <f aca="true" t="shared" si="7" ref="V15:V25">+U15/U$6</f>
        <v>0.15710513468022216</v>
      </c>
      <c r="W15" s="64">
        <f>SUM(W16:W25)</f>
        <v>1405399.9299999997</v>
      </c>
      <c r="X15" s="137">
        <f aca="true" t="shared" si="8" ref="X15:X25">+W15/W$6</f>
        <v>0.15256027984623965</v>
      </c>
      <c r="Y15" s="64">
        <f>SUM(Y16:Y25)</f>
        <v>1476813.29</v>
      </c>
      <c r="Z15" s="137">
        <f aca="true" t="shared" si="9" ref="Z15:Z25">+Y15/Y$6</f>
        <v>0.15780872861951</v>
      </c>
      <c r="AA15" s="64">
        <f>SUM(AA16:AA25)</f>
        <v>1547616.4999999998</v>
      </c>
      <c r="AB15" s="235">
        <f aca="true" t="shared" si="10" ref="AB15:AB25">+AA15/AA$6</f>
        <v>0.16494916951446</v>
      </c>
    </row>
    <row r="16" spans="1:28" ht="12.75">
      <c r="A16" s="76"/>
      <c r="B16" s="1"/>
      <c r="C16" s="1"/>
      <c r="D16" s="55" t="s">
        <v>51</v>
      </c>
      <c r="E16" s="63"/>
      <c r="F16" s="136" t="e">
        <f t="shared" si="0"/>
        <v>#DIV/0!</v>
      </c>
      <c r="G16" s="63">
        <v>139927.25</v>
      </c>
      <c r="H16" s="136">
        <f t="shared" si="1"/>
        <v>0.015016605420971673</v>
      </c>
      <c r="I16" s="63">
        <v>139927.25</v>
      </c>
      <c r="J16" s="136">
        <f t="shared" si="2"/>
        <v>0.01487133678287959</v>
      </c>
      <c r="K16" s="63">
        <v>147149.81</v>
      </c>
      <c r="L16" s="136">
        <f t="shared" si="3"/>
        <v>0.01567840937893782</v>
      </c>
      <c r="M16" s="63">
        <v>145829.81</v>
      </c>
      <c r="N16" s="136">
        <f t="shared" si="4"/>
        <v>0.015557716412771351</v>
      </c>
      <c r="O16" s="63">
        <v>142675.49</v>
      </c>
      <c r="P16" s="136">
        <f t="shared" si="4"/>
        <v>0.015295008428670433</v>
      </c>
      <c r="Q16" s="63">
        <v>199140.12</v>
      </c>
      <c r="R16" s="136">
        <f t="shared" si="5"/>
        <v>0.021285714643789515</v>
      </c>
      <c r="S16" s="63">
        <v>168970.68</v>
      </c>
      <c r="T16" s="136">
        <f t="shared" si="6"/>
        <v>0.018323864187210097</v>
      </c>
      <c r="U16" s="63">
        <v>170054.45</v>
      </c>
      <c r="V16" s="136">
        <f t="shared" si="7"/>
        <v>0.018557471840807378</v>
      </c>
      <c r="W16" s="63">
        <v>163988.13</v>
      </c>
      <c r="X16" s="136">
        <f t="shared" si="8"/>
        <v>0.01780139195272447</v>
      </c>
      <c r="Y16" s="63">
        <v>159260.75</v>
      </c>
      <c r="Z16" s="136">
        <f t="shared" si="9"/>
        <v>0.017018222037052246</v>
      </c>
      <c r="AA16" s="63">
        <v>152193.72</v>
      </c>
      <c r="AB16" s="236">
        <f t="shared" si="10"/>
        <v>0.016221219998181893</v>
      </c>
    </row>
    <row r="17" spans="1:28" ht="12.75" customHeight="1">
      <c r="A17" s="76"/>
      <c r="B17" s="1"/>
      <c r="C17" s="1"/>
      <c r="D17" s="55" t="s">
        <v>57</v>
      </c>
      <c r="E17" s="63"/>
      <c r="F17" s="136" t="e">
        <f t="shared" si="0"/>
        <v>#DIV/0!</v>
      </c>
      <c r="G17" s="63">
        <v>4504.35</v>
      </c>
      <c r="H17" s="136">
        <f t="shared" si="1"/>
        <v>0.00048339438263779043</v>
      </c>
      <c r="I17" s="63">
        <v>27700.79</v>
      </c>
      <c r="J17" s="136">
        <f t="shared" si="2"/>
        <v>0.002944013958980993</v>
      </c>
      <c r="K17" s="63">
        <v>24768.54</v>
      </c>
      <c r="L17" s="136">
        <f t="shared" si="3"/>
        <v>0.0026390201240395522</v>
      </c>
      <c r="M17" s="63">
        <v>26350.36</v>
      </c>
      <c r="N17" s="136">
        <f t="shared" si="4"/>
        <v>0.0028111634257387687</v>
      </c>
      <c r="O17" s="63">
        <v>27160.06</v>
      </c>
      <c r="P17" s="136">
        <f t="shared" si="4"/>
        <v>0.0029115957241373047</v>
      </c>
      <c r="Q17" s="63">
        <v>27407.14</v>
      </c>
      <c r="R17" s="136">
        <f t="shared" si="5"/>
        <v>0.0029294978894377956</v>
      </c>
      <c r="S17" s="63">
        <v>25602.61</v>
      </c>
      <c r="T17" s="136">
        <f t="shared" si="6"/>
        <v>0.0027764506154446863</v>
      </c>
      <c r="U17" s="63">
        <v>28413.88</v>
      </c>
      <c r="V17" s="136">
        <f t="shared" si="7"/>
        <v>0.003100711436766753</v>
      </c>
      <c r="W17" s="63">
        <v>27947.56</v>
      </c>
      <c r="X17" s="136">
        <f t="shared" si="8"/>
        <v>0.0030337895168527397</v>
      </c>
      <c r="Y17" s="63">
        <v>18326.43</v>
      </c>
      <c r="Z17" s="136">
        <f t="shared" si="9"/>
        <v>0.0019583183859582186</v>
      </c>
      <c r="AA17" s="63">
        <v>4509.5</v>
      </c>
      <c r="AB17" s="236">
        <f t="shared" si="10"/>
        <v>0.00048063475668904895</v>
      </c>
    </row>
    <row r="18" spans="1:28" ht="12.75" customHeight="1">
      <c r="A18" s="76"/>
      <c r="B18" s="1"/>
      <c r="C18" s="1"/>
      <c r="D18" s="55" t="s">
        <v>120</v>
      </c>
      <c r="E18" s="63"/>
      <c r="F18" s="136" t="e">
        <f t="shared" si="0"/>
        <v>#DIV/0!</v>
      </c>
      <c r="G18" s="63">
        <v>205208.17</v>
      </c>
      <c r="H18" s="136">
        <f t="shared" si="1"/>
        <v>0.022022373183562722</v>
      </c>
      <c r="I18" s="63">
        <v>199053.33</v>
      </c>
      <c r="J18" s="136">
        <f t="shared" si="2"/>
        <v>0.02115520106472234</v>
      </c>
      <c r="K18" s="63">
        <v>159803.36</v>
      </c>
      <c r="L18" s="136">
        <f t="shared" si="3"/>
        <v>0.017026610487704853</v>
      </c>
      <c r="M18" s="63">
        <v>132242.58</v>
      </c>
      <c r="N18" s="136">
        <f t="shared" si="4"/>
        <v>0.014108175532377285</v>
      </c>
      <c r="O18" s="63">
        <v>61877.45</v>
      </c>
      <c r="P18" s="136">
        <f t="shared" si="4"/>
        <v>0.006633347600871273</v>
      </c>
      <c r="Q18" s="63">
        <v>49543.72</v>
      </c>
      <c r="R18" s="136">
        <f t="shared" si="5"/>
        <v>0.0052956354867708605</v>
      </c>
      <c r="S18" s="63">
        <v>53219.66</v>
      </c>
      <c r="T18" s="136">
        <f t="shared" si="6"/>
        <v>0.005771355254825854</v>
      </c>
      <c r="U18" s="63">
        <v>51199.75</v>
      </c>
      <c r="V18" s="136">
        <f t="shared" si="7"/>
        <v>0.005587257016099123</v>
      </c>
      <c r="W18" s="63">
        <v>54099.48</v>
      </c>
      <c r="X18" s="136">
        <f t="shared" si="8"/>
        <v>0.005872657050962032</v>
      </c>
      <c r="Y18" s="63">
        <v>91318.35</v>
      </c>
      <c r="Z18" s="136">
        <f t="shared" si="9"/>
        <v>0.009758060013890742</v>
      </c>
      <c r="AA18" s="63">
        <v>79381.51</v>
      </c>
      <c r="AB18" s="236">
        <f t="shared" si="10"/>
        <v>0.00846069691638969</v>
      </c>
    </row>
    <row r="19" spans="1:28" ht="12.75" customHeight="1">
      <c r="A19" s="76"/>
      <c r="B19" s="1"/>
      <c r="C19" s="1"/>
      <c r="D19" s="55" t="s">
        <v>242</v>
      </c>
      <c r="E19" s="63"/>
      <c r="F19" s="136" t="e">
        <f t="shared" si="0"/>
        <v>#DIV/0!</v>
      </c>
      <c r="G19" s="63">
        <v>1463441.26</v>
      </c>
      <c r="H19" s="136">
        <f t="shared" si="1"/>
        <v>0.15705246803742384</v>
      </c>
      <c r="I19" s="63">
        <v>1441725.43</v>
      </c>
      <c r="J19" s="136">
        <f t="shared" si="2"/>
        <v>0.15322522537941605</v>
      </c>
      <c r="K19" s="63">
        <v>1471233.87</v>
      </c>
      <c r="L19" s="136">
        <f t="shared" si="3"/>
        <v>0.15675594080630473</v>
      </c>
      <c r="M19" s="63">
        <v>1530378.91</v>
      </c>
      <c r="N19" s="136">
        <f t="shared" si="4"/>
        <v>0.16326703769185552</v>
      </c>
      <c r="O19" s="63">
        <v>1549124.11</v>
      </c>
      <c r="P19" s="136">
        <f t="shared" si="4"/>
        <v>0.16606823161782439</v>
      </c>
      <c r="Q19" s="63">
        <v>1461945.6</v>
      </c>
      <c r="R19" s="136">
        <f t="shared" si="5"/>
        <v>0.15626462847538533</v>
      </c>
      <c r="S19" s="63">
        <v>1331982.95</v>
      </c>
      <c r="T19" s="136">
        <f t="shared" si="6"/>
        <v>0.14444562024298807</v>
      </c>
      <c r="U19" s="63">
        <v>1237191.38</v>
      </c>
      <c r="V19" s="136">
        <f t="shared" si="7"/>
        <v>0.13501054630466663</v>
      </c>
      <c r="W19" s="63">
        <v>1110440.21</v>
      </c>
      <c r="X19" s="136">
        <f t="shared" si="8"/>
        <v>0.12054153808739491</v>
      </c>
      <c r="Y19" s="63">
        <v>1104103.05</v>
      </c>
      <c r="Z19" s="136">
        <f t="shared" si="9"/>
        <v>0.11798180566578141</v>
      </c>
      <c r="AA19" s="63">
        <v>1164303.43</v>
      </c>
      <c r="AB19" s="236">
        <f t="shared" si="10"/>
        <v>0.12409462153016412</v>
      </c>
    </row>
    <row r="20" spans="1:28" ht="12.75" customHeight="1">
      <c r="A20" s="76"/>
      <c r="B20" s="1"/>
      <c r="C20" s="1"/>
      <c r="D20" s="55" t="s">
        <v>241</v>
      </c>
      <c r="E20" s="63"/>
      <c r="F20" s="136" t="e">
        <f t="shared" si="0"/>
        <v>#DIV/0!</v>
      </c>
      <c r="G20" s="63">
        <v>-316923.77</v>
      </c>
      <c r="H20" s="136">
        <f t="shared" si="1"/>
        <v>-0.03401138236202584</v>
      </c>
      <c r="I20" s="63">
        <v>-240397.33</v>
      </c>
      <c r="J20" s="136">
        <f t="shared" si="2"/>
        <v>-0.025549202575874556</v>
      </c>
      <c r="K20" s="63">
        <v>-223992.43</v>
      </c>
      <c r="L20" s="136">
        <f t="shared" si="3"/>
        <v>-0.023865780155088702</v>
      </c>
      <c r="M20" s="63">
        <v>-254341.17</v>
      </c>
      <c r="N20" s="136">
        <f t="shared" si="4"/>
        <v>-0.027134149012142776</v>
      </c>
      <c r="O20" s="63">
        <v>-222515.47</v>
      </c>
      <c r="P20" s="136">
        <f t="shared" si="4"/>
        <v>-0.023853963909004718</v>
      </c>
      <c r="Q20" s="63">
        <v>-210081.21</v>
      </c>
      <c r="R20" s="136">
        <f t="shared" si="5"/>
        <v>-0.022455187272569788</v>
      </c>
      <c r="S20" s="63">
        <v>-221792.06</v>
      </c>
      <c r="T20" s="136">
        <f t="shared" si="6"/>
        <v>-0.02405202834741242</v>
      </c>
      <c r="U20" s="63">
        <v>-227065.96</v>
      </c>
      <c r="V20" s="136">
        <f t="shared" si="7"/>
        <v>-0.02477894673562435</v>
      </c>
      <c r="W20" s="63">
        <v>-132228.81</v>
      </c>
      <c r="X20" s="136">
        <f t="shared" si="8"/>
        <v>-0.014353824720437587</v>
      </c>
      <c r="Y20" s="63">
        <v>-123324.14</v>
      </c>
      <c r="Z20" s="136">
        <f t="shared" si="9"/>
        <v>-0.013178122023464765</v>
      </c>
      <c r="AA20" s="63">
        <v>-85056.9</v>
      </c>
      <c r="AB20" s="236">
        <f t="shared" si="10"/>
        <v>-0.009065595395548236</v>
      </c>
    </row>
    <row r="21" spans="1:28" ht="12.75" customHeight="1">
      <c r="A21" s="76"/>
      <c r="B21" s="1"/>
      <c r="C21" s="1"/>
      <c r="D21" s="55" t="s">
        <v>239</v>
      </c>
      <c r="E21" s="63"/>
      <c r="F21" s="136" t="e">
        <f t="shared" si="0"/>
        <v>#DIV/0!</v>
      </c>
      <c r="G21" s="63">
        <f>10140.27+18801.84</f>
        <v>28942.11</v>
      </c>
      <c r="H21" s="136">
        <f t="shared" si="1"/>
        <v>0.003105987189202664</v>
      </c>
      <c r="I21" s="63">
        <f>10140.27+27436.02</f>
        <v>37576.29</v>
      </c>
      <c r="J21" s="136">
        <f t="shared" si="2"/>
        <v>0.003993572829031876</v>
      </c>
      <c r="K21" s="63">
        <f>9861.41+18784.5</f>
        <v>28645.91</v>
      </c>
      <c r="L21" s="136">
        <f t="shared" si="3"/>
        <v>0.003052143281817412</v>
      </c>
      <c r="M21" s="63">
        <f>8305.05+10499.27</f>
        <v>18804.32</v>
      </c>
      <c r="N21" s="136">
        <f t="shared" si="4"/>
        <v>0.002006121230597534</v>
      </c>
      <c r="O21" s="63">
        <f>8305.05+2914</f>
        <v>11219.05</v>
      </c>
      <c r="P21" s="136">
        <f t="shared" si="4"/>
        <v>0.0012026975643235922</v>
      </c>
      <c r="Q21" s="63">
        <f>9284.05+1769.43</f>
        <v>11053.48</v>
      </c>
      <c r="R21" s="136">
        <f t="shared" si="5"/>
        <v>0.0011814857854903096</v>
      </c>
      <c r="S21" s="63">
        <f>8821.45+2548.16</f>
        <v>11369.61</v>
      </c>
      <c r="T21" s="136">
        <f t="shared" si="6"/>
        <v>0.0012329665093467447</v>
      </c>
      <c r="U21" s="63">
        <f>8358.85+2335.23</f>
        <v>10694.08</v>
      </c>
      <c r="V21" s="136">
        <f t="shared" si="7"/>
        <v>0.001167009087167912</v>
      </c>
      <c r="W21" s="63">
        <f>7896.24+4085.92</f>
        <v>11982.16</v>
      </c>
      <c r="X21" s="136">
        <f t="shared" si="8"/>
        <v>0.0013006985725141022</v>
      </c>
      <c r="Y21" s="63">
        <f>7896.24+5395.16</f>
        <v>13291.4</v>
      </c>
      <c r="Z21" s="136">
        <f t="shared" si="9"/>
        <v>0.0014202871478583153</v>
      </c>
      <c r="AA21" s="63">
        <f>2729.12+13210.79</f>
        <v>15939.91</v>
      </c>
      <c r="AB21" s="236">
        <f t="shared" si="10"/>
        <v>0.0016989188966615675</v>
      </c>
    </row>
    <row r="22" spans="1:28" ht="12.75" customHeight="1">
      <c r="A22" s="76"/>
      <c r="B22" s="1"/>
      <c r="C22" s="1"/>
      <c r="D22" s="55" t="s">
        <v>283</v>
      </c>
      <c r="E22" s="63"/>
      <c r="F22" s="136" t="e">
        <f t="shared" si="0"/>
        <v>#DIV/0!</v>
      </c>
      <c r="G22" s="63">
        <v>0</v>
      </c>
      <c r="H22" s="136">
        <f t="shared" si="1"/>
        <v>0</v>
      </c>
      <c r="I22" s="63">
        <v>0</v>
      </c>
      <c r="J22" s="136">
        <f t="shared" si="2"/>
        <v>0</v>
      </c>
      <c r="K22" s="63">
        <v>0</v>
      </c>
      <c r="L22" s="136">
        <f t="shared" si="3"/>
        <v>0</v>
      </c>
      <c r="M22" s="63">
        <v>0</v>
      </c>
      <c r="N22" s="136">
        <f t="shared" si="4"/>
        <v>0</v>
      </c>
      <c r="O22" s="63"/>
      <c r="P22" s="136">
        <f t="shared" si="4"/>
        <v>0</v>
      </c>
      <c r="Q22" s="63">
        <v>0</v>
      </c>
      <c r="R22" s="136">
        <f t="shared" si="5"/>
        <v>0</v>
      </c>
      <c r="S22" s="63">
        <v>0</v>
      </c>
      <c r="T22" s="136">
        <f t="shared" si="6"/>
        <v>0</v>
      </c>
      <c r="U22" s="63">
        <v>0</v>
      </c>
      <c r="V22" s="136">
        <f t="shared" si="7"/>
        <v>0</v>
      </c>
      <c r="W22" s="63">
        <v>0</v>
      </c>
      <c r="X22" s="136">
        <f t="shared" si="8"/>
        <v>0</v>
      </c>
      <c r="Y22" s="63">
        <v>0</v>
      </c>
      <c r="Z22" s="136">
        <f t="shared" si="9"/>
        <v>0</v>
      </c>
      <c r="AA22" s="63">
        <v>2507.88</v>
      </c>
      <c r="AB22" s="236">
        <f t="shared" si="10"/>
        <v>0.00026729666118313167</v>
      </c>
    </row>
    <row r="23" spans="1:28" ht="12.75" customHeight="1">
      <c r="A23" s="76"/>
      <c r="B23" s="1"/>
      <c r="C23" s="1"/>
      <c r="D23" s="55" t="s">
        <v>64</v>
      </c>
      <c r="E23" s="63"/>
      <c r="F23" s="136" t="e">
        <f t="shared" si="0"/>
        <v>#DIV/0!</v>
      </c>
      <c r="G23" s="63">
        <v>169143.76</v>
      </c>
      <c r="H23" s="136">
        <f t="shared" si="1"/>
        <v>0.018152040459163826</v>
      </c>
      <c r="I23" s="63">
        <v>169143.76</v>
      </c>
      <c r="J23" s="136">
        <f t="shared" si="2"/>
        <v>0.017976440040682266</v>
      </c>
      <c r="K23" s="63">
        <v>169143.76</v>
      </c>
      <c r="L23" s="136">
        <f t="shared" si="3"/>
        <v>0.01802180453493489</v>
      </c>
      <c r="M23" s="63">
        <v>169143.76</v>
      </c>
      <c r="N23" s="136">
        <f t="shared" si="4"/>
        <v>0.018044943287451713</v>
      </c>
      <c r="O23" s="63">
        <v>169143.76</v>
      </c>
      <c r="P23" s="136">
        <f t="shared" si="4"/>
        <v>0.01813244331494505</v>
      </c>
      <c r="Q23" s="63">
        <v>169143.76</v>
      </c>
      <c r="R23" s="136">
        <f t="shared" si="5"/>
        <v>0.01807945987547672</v>
      </c>
      <c r="S23" s="63">
        <v>169143.76</v>
      </c>
      <c r="T23" s="136">
        <f t="shared" si="6"/>
        <v>0.01834263368268424</v>
      </c>
      <c r="U23" s="63">
        <v>169143.76</v>
      </c>
      <c r="V23" s="136">
        <f t="shared" si="7"/>
        <v>0.018458091295160354</v>
      </c>
      <c r="W23" s="63">
        <v>169143.76</v>
      </c>
      <c r="X23" s="136">
        <f t="shared" si="8"/>
        <v>0.018361050693837165</v>
      </c>
      <c r="Y23" s="63">
        <v>213810.01</v>
      </c>
      <c r="Z23" s="136">
        <f t="shared" si="9"/>
        <v>0.022847225219800617</v>
      </c>
      <c r="AA23" s="63">
        <v>213810.01</v>
      </c>
      <c r="AB23" s="236">
        <f t="shared" si="10"/>
        <v>0.022788451521018546</v>
      </c>
    </row>
    <row r="24" spans="1:28" ht="12.75" customHeight="1" hidden="1">
      <c r="A24" s="76"/>
      <c r="B24" s="1"/>
      <c r="C24" s="1"/>
      <c r="D24" s="55" t="s">
        <v>203</v>
      </c>
      <c r="E24" s="63"/>
      <c r="F24" s="136" t="e">
        <f t="shared" si="0"/>
        <v>#DIV/0!</v>
      </c>
      <c r="G24" s="63"/>
      <c r="H24" s="136">
        <f t="shared" si="1"/>
        <v>0</v>
      </c>
      <c r="I24" s="63"/>
      <c r="J24" s="136">
        <f t="shared" si="2"/>
        <v>0</v>
      </c>
      <c r="K24" s="63"/>
      <c r="L24" s="136">
        <f t="shared" si="3"/>
        <v>0</v>
      </c>
      <c r="M24" s="63"/>
      <c r="N24" s="136">
        <f t="shared" si="4"/>
        <v>0</v>
      </c>
      <c r="O24" s="63"/>
      <c r="P24" s="136">
        <f t="shared" si="4"/>
        <v>0</v>
      </c>
      <c r="Q24" s="63"/>
      <c r="R24" s="136">
        <f t="shared" si="5"/>
        <v>0</v>
      </c>
      <c r="S24" s="63"/>
      <c r="T24" s="136">
        <f t="shared" si="6"/>
        <v>0</v>
      </c>
      <c r="U24" s="63"/>
      <c r="V24" s="136">
        <f t="shared" si="7"/>
        <v>0</v>
      </c>
      <c r="W24" s="63"/>
      <c r="X24" s="136">
        <f t="shared" si="8"/>
        <v>0</v>
      </c>
      <c r="Y24" s="63"/>
      <c r="Z24" s="136">
        <f t="shared" si="9"/>
        <v>0</v>
      </c>
      <c r="AA24" s="63"/>
      <c r="AB24" s="236">
        <f t="shared" si="10"/>
        <v>0</v>
      </c>
    </row>
    <row r="25" spans="1:28" ht="12.75">
      <c r="A25" s="76" t="s">
        <v>240</v>
      </c>
      <c r="B25" s="19"/>
      <c r="C25" s="1" t="s">
        <v>111</v>
      </c>
      <c r="D25" s="1" t="s">
        <v>243</v>
      </c>
      <c r="E25" s="63"/>
      <c r="F25" s="136" t="e">
        <f t="shared" si="0"/>
        <v>#DIV/0!</v>
      </c>
      <c r="G25" s="63"/>
      <c r="H25" s="136">
        <f t="shared" si="1"/>
        <v>0</v>
      </c>
      <c r="I25" s="63">
        <v>0</v>
      </c>
      <c r="J25" s="136">
        <f t="shared" si="2"/>
        <v>0</v>
      </c>
      <c r="K25" s="63">
        <v>0</v>
      </c>
      <c r="L25" s="136">
        <f t="shared" si="3"/>
        <v>0</v>
      </c>
      <c r="M25" s="63">
        <v>0</v>
      </c>
      <c r="N25" s="136">
        <f t="shared" si="4"/>
        <v>0</v>
      </c>
      <c r="O25" s="63">
        <v>0</v>
      </c>
      <c r="P25" s="136">
        <f t="shared" si="4"/>
        <v>0</v>
      </c>
      <c r="Q25" s="63">
        <v>20.9</v>
      </c>
      <c r="R25" s="136">
        <f t="shared" si="5"/>
        <v>2.2339618759655303E-06</v>
      </c>
      <c r="S25" s="63">
        <v>0</v>
      </c>
      <c r="T25" s="136">
        <f t="shared" si="6"/>
        <v>0</v>
      </c>
      <c r="U25" s="63">
        <v>27.44</v>
      </c>
      <c r="V25" s="136">
        <f t="shared" si="7"/>
        <v>2.9944351783311433E-06</v>
      </c>
      <c r="W25" s="63">
        <v>27.44</v>
      </c>
      <c r="X25" s="136">
        <f t="shared" si="8"/>
        <v>2.9786923918381133E-06</v>
      </c>
      <c r="Y25" s="63">
        <v>27.44</v>
      </c>
      <c r="Z25" s="136">
        <f t="shared" si="9"/>
        <v>2.9321726332239024E-06</v>
      </c>
      <c r="AA25" s="63">
        <v>27.44</v>
      </c>
      <c r="AB25" s="236">
        <f t="shared" si="10"/>
        <v>2.924629720267769E-06</v>
      </c>
    </row>
    <row r="26" spans="1:28" ht="12.75">
      <c r="A26" s="76"/>
      <c r="B26" s="1"/>
      <c r="C26" s="1"/>
      <c r="D26" s="55"/>
      <c r="E26" s="63"/>
      <c r="F26" s="136" t="s">
        <v>111</v>
      </c>
      <c r="G26" s="63"/>
      <c r="H26" s="136" t="s">
        <v>111</v>
      </c>
      <c r="I26" s="63"/>
      <c r="J26" s="136" t="s">
        <v>111</v>
      </c>
      <c r="K26" s="63"/>
      <c r="L26" s="136" t="s">
        <v>111</v>
      </c>
      <c r="M26" s="63"/>
      <c r="N26" s="136" t="s">
        <v>111</v>
      </c>
      <c r="O26" s="63"/>
      <c r="P26" s="136" t="s">
        <v>111</v>
      </c>
      <c r="Q26" s="63"/>
      <c r="R26" s="136" t="s">
        <v>111</v>
      </c>
      <c r="S26" s="63"/>
      <c r="T26" s="136" t="s">
        <v>111</v>
      </c>
      <c r="U26" s="63"/>
      <c r="V26" s="136" t="s">
        <v>111</v>
      </c>
      <c r="W26" s="63"/>
      <c r="X26" s="136" t="s">
        <v>111</v>
      </c>
      <c r="Y26" s="63"/>
      <c r="Z26" s="136" t="s">
        <v>111</v>
      </c>
      <c r="AA26" s="63"/>
      <c r="AB26" s="236" t="s">
        <v>111</v>
      </c>
    </row>
    <row r="27" spans="1:28" ht="12.75">
      <c r="A27" s="76"/>
      <c r="B27" s="1"/>
      <c r="C27" s="4" t="s">
        <v>60</v>
      </c>
      <c r="D27" s="55"/>
      <c r="E27" s="64">
        <f>SUM(E28:E29)</f>
        <v>0</v>
      </c>
      <c r="F27" s="137" t="e">
        <f>+E27/E$6</f>
        <v>#DIV/0!</v>
      </c>
      <c r="G27" s="64">
        <f>SUM(G28:G29)</f>
        <v>49732.65</v>
      </c>
      <c r="H27" s="137">
        <f>+G27/G$6</f>
        <v>0.005337170433845351</v>
      </c>
      <c r="I27" s="64">
        <f>SUM(I28:I29)</f>
        <v>49732.65</v>
      </c>
      <c r="J27" s="137">
        <f>+I27/I$6</f>
        <v>0.005285539358881681</v>
      </c>
      <c r="K27" s="64">
        <f>SUM(K28:K29)</f>
        <v>49732.65</v>
      </c>
      <c r="L27" s="137">
        <f>+K27/K$6</f>
        <v>0.005298877696134518</v>
      </c>
      <c r="M27" s="64">
        <f>SUM(M28:M29)</f>
        <v>49732.65</v>
      </c>
      <c r="N27" s="137">
        <f>+M27/M$6</f>
        <v>0.00530568108917932</v>
      </c>
      <c r="O27" s="64">
        <f>SUM(O28:O29)</f>
        <v>49732.65</v>
      </c>
      <c r="P27" s="137">
        <f>+O27/O$6</f>
        <v>0.005331408365446068</v>
      </c>
      <c r="Q27" s="64">
        <f>SUM(Q28:Q29)</f>
        <v>49732.65</v>
      </c>
      <c r="R27" s="137">
        <f>+Q27/Q$6</f>
        <v>0.005315829860800821</v>
      </c>
      <c r="S27" s="64">
        <f>SUM(S28:S29)</f>
        <v>49732.65</v>
      </c>
      <c r="T27" s="137">
        <f>+S27/S$6</f>
        <v>0.005393209782135305</v>
      </c>
      <c r="U27" s="64">
        <f>SUM(U28:U29)</f>
        <v>49732.65</v>
      </c>
      <c r="V27" s="137">
        <f>+U27/U$6</f>
        <v>0.005427157313106061</v>
      </c>
      <c r="W27" s="64">
        <f>SUM(W28:W29)</f>
        <v>49732.65</v>
      </c>
      <c r="X27" s="137">
        <f>+W27/W$6</f>
        <v>0.005398624860821711</v>
      </c>
      <c r="Y27" s="64">
        <f>SUM(Y28:Y29)</f>
        <v>49732.65</v>
      </c>
      <c r="Z27" s="137">
        <f>+Y27/Y$6</f>
        <v>0.005314311782350682</v>
      </c>
      <c r="AA27" s="64">
        <f>SUM(AA28:AA29)</f>
        <v>49732.65</v>
      </c>
      <c r="AB27" s="235">
        <f>+AA27/AA$6</f>
        <v>0.005300640898603311</v>
      </c>
    </row>
    <row r="28" spans="1:28" ht="12.75" hidden="1">
      <c r="A28" s="76"/>
      <c r="B28" s="1"/>
      <c r="C28" s="1"/>
      <c r="D28" s="55" t="s">
        <v>280</v>
      </c>
      <c r="E28" s="63"/>
      <c r="F28" s="136" t="e">
        <f>+E28/E$6</f>
        <v>#DIV/0!</v>
      </c>
      <c r="G28" s="63"/>
      <c r="H28" s="136">
        <f>+G28/G$6</f>
        <v>0</v>
      </c>
      <c r="I28" s="63"/>
      <c r="J28" s="136">
        <f>+I28/I$6</f>
        <v>0</v>
      </c>
      <c r="K28" s="63"/>
      <c r="L28" s="136">
        <f>+K28/K$6</f>
        <v>0</v>
      </c>
      <c r="M28" s="63"/>
      <c r="N28" s="136">
        <f>+M28/M$6</f>
        <v>0</v>
      </c>
      <c r="O28" s="63"/>
      <c r="P28" s="136">
        <f>+O28/O$6</f>
        <v>0</v>
      </c>
      <c r="Q28" s="63"/>
      <c r="R28" s="136">
        <f>+Q28/Q$6</f>
        <v>0</v>
      </c>
      <c r="S28" s="63"/>
      <c r="T28" s="136">
        <f>+S28/S$6</f>
        <v>0</v>
      </c>
      <c r="U28" s="63"/>
      <c r="V28" s="136">
        <f>+U28/U$6</f>
        <v>0</v>
      </c>
      <c r="W28" s="63"/>
      <c r="X28" s="136">
        <f>+W28/W$6</f>
        <v>0</v>
      </c>
      <c r="Y28" s="63"/>
      <c r="Z28" s="136">
        <f>+Y28/Y$6</f>
        <v>0</v>
      </c>
      <c r="AA28" s="63"/>
      <c r="AB28" s="236">
        <f>+AA28/AA$6</f>
        <v>0</v>
      </c>
    </row>
    <row r="29" spans="1:28" ht="12.75">
      <c r="A29" s="76"/>
      <c r="B29" s="1"/>
      <c r="C29" s="1"/>
      <c r="D29" s="55" t="s">
        <v>279</v>
      </c>
      <c r="E29" s="63"/>
      <c r="F29" s="136"/>
      <c r="G29" s="63">
        <v>49732.65</v>
      </c>
      <c r="H29" s="136">
        <f>+G29/G$6</f>
        <v>0.005337170433845351</v>
      </c>
      <c r="I29" s="63">
        <v>49732.65</v>
      </c>
      <c r="J29" s="136">
        <f>+I29/I$6</f>
        <v>0.005285539358881681</v>
      </c>
      <c r="K29" s="63">
        <v>49732.65</v>
      </c>
      <c r="L29" s="136">
        <f>+K29/K$6</f>
        <v>0.005298877696134518</v>
      </c>
      <c r="M29" s="63">
        <v>49732.65</v>
      </c>
      <c r="N29" s="136">
        <f>+M29/M$6</f>
        <v>0.00530568108917932</v>
      </c>
      <c r="O29" s="63">
        <v>49732.65</v>
      </c>
      <c r="P29" s="136">
        <f>+O29/O$6</f>
        <v>0.005331408365446068</v>
      </c>
      <c r="Q29" s="63">
        <v>49732.65</v>
      </c>
      <c r="R29" s="136"/>
      <c r="S29" s="63">
        <v>49732.65</v>
      </c>
      <c r="T29" s="136">
        <f>+S29/S$6</f>
        <v>0.005393209782135305</v>
      </c>
      <c r="U29" s="63">
        <v>49732.65</v>
      </c>
      <c r="V29" s="136">
        <f>+U29/U$6</f>
        <v>0.005427157313106061</v>
      </c>
      <c r="W29" s="63">
        <v>49732.65</v>
      </c>
      <c r="X29" s="136">
        <f>+W29/W$6</f>
        <v>0.005398624860821711</v>
      </c>
      <c r="Y29" s="63">
        <v>49732.65</v>
      </c>
      <c r="Z29" s="136">
        <f>+Y29/Y$6</f>
        <v>0.005314311782350682</v>
      </c>
      <c r="AA29" s="63">
        <v>49732.65</v>
      </c>
      <c r="AB29" s="236">
        <f>+AA29/AA$6</f>
        <v>0.005300640898603311</v>
      </c>
    </row>
    <row r="30" spans="1:28" ht="12.75">
      <c r="A30" s="76"/>
      <c r="B30" s="1"/>
      <c r="C30" s="1"/>
      <c r="D30" s="55"/>
      <c r="E30" s="63"/>
      <c r="F30" s="136" t="s">
        <v>116</v>
      </c>
      <c r="G30" s="63"/>
      <c r="H30" s="136" t="s">
        <v>116</v>
      </c>
      <c r="I30" s="63"/>
      <c r="J30" s="136" t="s">
        <v>116</v>
      </c>
      <c r="K30" s="63"/>
      <c r="L30" s="136"/>
      <c r="M30" s="63"/>
      <c r="N30" s="136" t="s">
        <v>116</v>
      </c>
      <c r="O30" s="63"/>
      <c r="P30" s="136" t="s">
        <v>116</v>
      </c>
      <c r="Q30" s="63"/>
      <c r="R30" s="136" t="s">
        <v>116</v>
      </c>
      <c r="S30" s="63"/>
      <c r="T30" s="136" t="s">
        <v>116</v>
      </c>
      <c r="U30" s="63"/>
      <c r="V30" s="136" t="s">
        <v>116</v>
      </c>
      <c r="W30" s="63"/>
      <c r="X30" s="136" t="s">
        <v>116</v>
      </c>
      <c r="Y30" s="63"/>
      <c r="Z30" s="136"/>
      <c r="AA30" s="63"/>
      <c r="AB30" s="236" t="s">
        <v>116</v>
      </c>
    </row>
    <row r="31" spans="1:28" ht="12.75">
      <c r="A31" s="76"/>
      <c r="B31" s="1"/>
      <c r="C31" s="4" t="s">
        <v>62</v>
      </c>
      <c r="D31" s="55"/>
      <c r="E31" s="64">
        <f>E32</f>
        <v>0</v>
      </c>
      <c r="F31" s="137" t="e">
        <f>+E31/E$6</f>
        <v>#DIV/0!</v>
      </c>
      <c r="G31" s="64">
        <f>G32</f>
        <v>5056.55</v>
      </c>
      <c r="H31" s="137">
        <f>+G31/G$6</f>
        <v>0.0005426549592121214</v>
      </c>
      <c r="I31" s="64">
        <f>I32</f>
        <v>5786.15</v>
      </c>
      <c r="J31" s="137">
        <f>+I31/I$6</f>
        <v>0.0006149465906480599</v>
      </c>
      <c r="K31" s="64">
        <f>K32</f>
        <v>6540.07</v>
      </c>
      <c r="L31" s="137">
        <f>+K31/K$6</f>
        <v>0.0006968265526602437</v>
      </c>
      <c r="M31" s="64">
        <f>M32</f>
        <v>7269.67</v>
      </c>
      <c r="N31" s="137">
        <f>+M31/M$6</f>
        <v>0.000775557921075475</v>
      </c>
      <c r="O31" s="64">
        <f>O32</f>
        <v>8023.59</v>
      </c>
      <c r="P31" s="137">
        <f>+O31/O$6</f>
        <v>0.0008601398647952484</v>
      </c>
      <c r="Q31" s="64">
        <f>Q32</f>
        <v>1319.02</v>
      </c>
      <c r="R31" s="137">
        <f>+Q31/Q$6</f>
        <v>0.00014098757864287341</v>
      </c>
      <c r="S31" s="64">
        <f>S32</f>
        <v>2172.82</v>
      </c>
      <c r="T31" s="137">
        <f>+S31/S$6</f>
        <v>0.00023562939193506145</v>
      </c>
      <c r="U31" s="64">
        <f>U32</f>
        <v>3235.49</v>
      </c>
      <c r="V31" s="137">
        <f>+U31/U$6</f>
        <v>0.0003530781732922241</v>
      </c>
      <c r="W31" s="64">
        <f>W32</f>
        <v>2796.99</v>
      </c>
      <c r="X31" s="137">
        <f>+W31/W$6</f>
        <v>0.0003036214589302946</v>
      </c>
      <c r="Y31" s="64">
        <f>Y32</f>
        <v>3776.59</v>
      </c>
      <c r="Z31" s="137">
        <f>+Y31/Y$6</f>
        <v>0.0004035573558639598</v>
      </c>
      <c r="AA31" s="64">
        <f>AA32</f>
        <v>4661.39</v>
      </c>
      <c r="AB31" s="235">
        <f>+AA31/AA$6</f>
        <v>0.0004968236053848024</v>
      </c>
    </row>
    <row r="32" spans="1:28" ht="12.75">
      <c r="A32" s="76"/>
      <c r="B32" s="1"/>
      <c r="C32" s="1"/>
      <c r="D32" s="55" t="s">
        <v>288</v>
      </c>
      <c r="E32" s="63"/>
      <c r="F32" s="136" t="e">
        <f>+E32/E$6</f>
        <v>#DIV/0!</v>
      </c>
      <c r="G32" s="63">
        <v>5056.55</v>
      </c>
      <c r="H32" s="136">
        <f>+G32/G$6</f>
        <v>0.0005426549592121214</v>
      </c>
      <c r="I32" s="63">
        <v>5786.15</v>
      </c>
      <c r="J32" s="136">
        <f>+I32/I$6</f>
        <v>0.0006149465906480599</v>
      </c>
      <c r="K32" s="63">
        <v>6540.07</v>
      </c>
      <c r="L32" s="136">
        <f>+K32/K$6</f>
        <v>0.0006968265526602437</v>
      </c>
      <c r="M32" s="63">
        <v>7269.67</v>
      </c>
      <c r="N32" s="136">
        <f>+M32/M$6</f>
        <v>0.000775557921075475</v>
      </c>
      <c r="O32" s="63">
        <v>8023.59</v>
      </c>
      <c r="P32" s="136">
        <f>+O32/O$6</f>
        <v>0.0008601398647952484</v>
      </c>
      <c r="Q32" s="63">
        <v>1319.02</v>
      </c>
      <c r="R32" s="136">
        <f>+Q32/Q$6</f>
        <v>0.00014098757864287341</v>
      </c>
      <c r="S32" s="63">
        <v>2172.82</v>
      </c>
      <c r="T32" s="136">
        <f>+S32/S$6</f>
        <v>0.00023562939193506145</v>
      </c>
      <c r="U32" s="63">
        <v>3235.49</v>
      </c>
      <c r="V32" s="136">
        <f>+U32/U$6</f>
        <v>0.0003530781732922241</v>
      </c>
      <c r="W32" s="63">
        <v>2796.99</v>
      </c>
      <c r="X32" s="136">
        <f>+W32/W$6</f>
        <v>0.0003036214589302946</v>
      </c>
      <c r="Y32" s="63">
        <v>3776.59</v>
      </c>
      <c r="Z32" s="136">
        <f>+Y32/Y$6</f>
        <v>0.0004035573558639598</v>
      </c>
      <c r="AA32" s="63">
        <v>4661.39</v>
      </c>
      <c r="AB32" s="236">
        <f>+AA32/AA$6</f>
        <v>0.0004968236053848024</v>
      </c>
    </row>
    <row r="33" spans="1:28" ht="12.75">
      <c r="A33" s="76"/>
      <c r="B33" s="1"/>
      <c r="C33" s="1"/>
      <c r="D33" s="55"/>
      <c r="E33" s="63"/>
      <c r="F33" s="136"/>
      <c r="G33" s="63"/>
      <c r="H33" s="136"/>
      <c r="I33" s="63"/>
      <c r="J33" s="136"/>
      <c r="K33" s="63"/>
      <c r="L33" s="136"/>
      <c r="M33" s="63"/>
      <c r="N33" s="136"/>
      <c r="O33" s="63"/>
      <c r="P33" s="136"/>
      <c r="Q33" s="63"/>
      <c r="R33" s="136"/>
      <c r="S33" s="63"/>
      <c r="T33" s="136"/>
      <c r="U33" s="63"/>
      <c r="V33" s="136"/>
      <c r="W33" s="63"/>
      <c r="X33" s="136"/>
      <c r="Y33" s="63"/>
      <c r="Z33" s="136"/>
      <c r="AA33" s="63"/>
      <c r="AB33" s="236"/>
    </row>
    <row r="34" spans="1:28" ht="12.75">
      <c r="A34" s="86"/>
      <c r="B34" s="4" t="s">
        <v>8</v>
      </c>
      <c r="C34" s="4"/>
      <c r="D34" s="56"/>
      <c r="E34" s="64">
        <f>E36+E43+E56</f>
        <v>0</v>
      </c>
      <c r="F34" s="136" t="e">
        <f>+E34/E$6</f>
        <v>#DIV/0!</v>
      </c>
      <c r="G34" s="64">
        <f>G36+G43+G56</f>
        <v>7544774.66</v>
      </c>
      <c r="H34" s="136">
        <f>+G34/G$6</f>
        <v>0.8096843471115577</v>
      </c>
      <c r="I34" s="64">
        <f>I36+I43+I56</f>
        <v>7536090.069999999</v>
      </c>
      <c r="J34" s="136">
        <f>+I34/I$6</f>
        <v>0.8009285786512964</v>
      </c>
      <c r="K34" s="64">
        <f>K36+K43+K56</f>
        <v>7542146.26</v>
      </c>
      <c r="L34" s="136">
        <f>+K34/K$6</f>
        <v>0.8035950346120379</v>
      </c>
      <c r="M34" s="64">
        <f>M36+M43+M56</f>
        <v>7544070.039999998</v>
      </c>
      <c r="N34" s="136">
        <f>+M34/M$6</f>
        <v>0.80483203180752</v>
      </c>
      <c r="O34" s="64">
        <f>O36+O43+O56</f>
        <v>7525455.180000001</v>
      </c>
      <c r="P34" s="136">
        <f>+O34/O$6</f>
        <v>0.8067391281269235</v>
      </c>
      <c r="Q34" s="64">
        <f>Q36+Q43+Q56</f>
        <v>7583479.88</v>
      </c>
      <c r="R34" s="136">
        <f>+Q34/Q$6</f>
        <v>0.8105839683766343</v>
      </c>
      <c r="S34" s="64">
        <f>S36+S43+S56</f>
        <v>7627474.06</v>
      </c>
      <c r="T34" s="136">
        <f>+S34/S$6</f>
        <v>0.8271541474941569</v>
      </c>
      <c r="U34" s="64">
        <f>U36+U43+U56</f>
        <v>7667744.27</v>
      </c>
      <c r="V34" s="136">
        <f>+U34/U$6</f>
        <v>0.836755217949528</v>
      </c>
      <c r="W34" s="64">
        <f>W36+W43+W56</f>
        <v>7702986.13</v>
      </c>
      <c r="X34" s="136">
        <f>+W34/W$6</f>
        <v>0.8361817120942241</v>
      </c>
      <c r="Y34" s="64">
        <f>Y36+Y43+Y56</f>
        <v>7676101.169999999</v>
      </c>
      <c r="Z34" s="136">
        <f>+Y34/Y$6</f>
        <v>0.820249773343002</v>
      </c>
      <c r="AA34" s="64">
        <f>AA36+AA43+AA56</f>
        <v>7691628.169999999</v>
      </c>
      <c r="AB34" s="236">
        <f>+AA34/AA$6</f>
        <v>0.8197946189224048</v>
      </c>
    </row>
    <row r="35" spans="1:28" ht="12.75">
      <c r="A35" s="76"/>
      <c r="B35" s="1"/>
      <c r="C35" s="1"/>
      <c r="D35" s="55"/>
      <c r="E35" s="63"/>
      <c r="F35" s="136"/>
      <c r="G35" s="63"/>
      <c r="H35" s="136"/>
      <c r="I35" s="63"/>
      <c r="J35" s="136"/>
      <c r="K35" s="63"/>
      <c r="L35" s="136"/>
      <c r="M35" s="63"/>
      <c r="N35" s="136"/>
      <c r="O35" s="63"/>
      <c r="P35" s="136"/>
      <c r="Q35" s="63"/>
      <c r="R35" s="136"/>
      <c r="S35" s="63"/>
      <c r="T35" s="136"/>
      <c r="U35" s="63"/>
      <c r="V35" s="136"/>
      <c r="W35" s="63"/>
      <c r="X35" s="136"/>
      <c r="Y35" s="63"/>
      <c r="Z35" s="136"/>
      <c r="AA35" s="63"/>
      <c r="AB35" s="236"/>
    </row>
    <row r="36" spans="1:28" ht="12.75">
      <c r="A36" s="76"/>
      <c r="B36" s="1"/>
      <c r="C36" s="4" t="s">
        <v>9</v>
      </c>
      <c r="D36" s="55"/>
      <c r="E36" s="64">
        <f>E37+E38+E39+E40+E41</f>
        <v>0</v>
      </c>
      <c r="F36" s="137" t="e">
        <f aca="true" t="shared" si="11" ref="F36:F41">+E36/E$6</f>
        <v>#DIV/0!</v>
      </c>
      <c r="G36" s="64">
        <f>G37+G38+G39+G40+G41</f>
        <v>403397.26</v>
      </c>
      <c r="H36" s="137">
        <f aca="true" t="shared" si="12" ref="H36:H41">+G36/G$6</f>
        <v>0.04329147811681513</v>
      </c>
      <c r="I36" s="64">
        <f>I37+I38+I39+I40+I41</f>
        <v>403297.26</v>
      </c>
      <c r="J36" s="137">
        <f aca="true" t="shared" si="13" ref="J36:J41">+I36/I$6</f>
        <v>0.04286205422512451</v>
      </c>
      <c r="K36" s="64">
        <f>K37+K38+K39+K40+K41</f>
        <v>407747.26</v>
      </c>
      <c r="L36" s="137">
        <f aca="true" t="shared" si="14" ref="L36:L41">+K36/K$6</f>
        <v>0.04344435419536184</v>
      </c>
      <c r="M36" s="64">
        <f>M37+M38+M39+M40+M41</f>
        <v>407587.26</v>
      </c>
      <c r="N36" s="137">
        <f aca="true" t="shared" si="15" ref="N36:P41">+M36/M$6</f>
        <v>0.043483064296240284</v>
      </c>
      <c r="O36" s="64">
        <f>O37+O38+O39+O40+O41</f>
        <v>402487.26</v>
      </c>
      <c r="P36" s="137">
        <f t="shared" si="15"/>
        <v>0.0431471869073831</v>
      </c>
      <c r="Q36" s="64">
        <f>Q37+Q38+Q39+Q40+Q41</f>
        <v>437387.26</v>
      </c>
      <c r="R36" s="137">
        <f aca="true" t="shared" si="16" ref="R36:R41">+Q36/Q$6</f>
        <v>0.04675150544847002</v>
      </c>
      <c r="S36" s="64">
        <f>S37+S38+S39+S40+S41</f>
        <v>437287.26</v>
      </c>
      <c r="T36" s="137">
        <f aca="true" t="shared" si="17" ref="T36:T41">+S36/S$6</f>
        <v>0.04742119971960361</v>
      </c>
      <c r="U36" s="64">
        <f>U37+U38+U39+U40+U41</f>
        <v>436890.51</v>
      </c>
      <c r="V36" s="137">
        <f aca="true" t="shared" si="18" ref="V36:V41">+U36/U$6</f>
        <v>0.0476763962180406</v>
      </c>
      <c r="W36" s="64">
        <f>W37+W38+W39+W40+W41</f>
        <v>436380.45</v>
      </c>
      <c r="X36" s="137">
        <f aca="true" t="shared" si="19" ref="X36:X41">+W36/W$6</f>
        <v>0.04737037632514184</v>
      </c>
      <c r="Y36" s="64">
        <f>Y37+Y38+Y39+Y40+Y41</f>
        <v>389775.55</v>
      </c>
      <c r="Z36" s="137">
        <f aca="true" t="shared" si="20" ref="Z36:Z41">+Y36/Y$6</f>
        <v>0.04165048107907415</v>
      </c>
      <c r="AA36" s="64">
        <f>AA37+AA38+AA39+AA40+AA41</f>
        <v>389075.55</v>
      </c>
      <c r="AB36" s="235">
        <f aca="true" t="shared" si="21" ref="AB36:AB41">+AA36/AA$6</f>
        <v>0.0414687287521694</v>
      </c>
    </row>
    <row r="37" spans="1:29" ht="12.75">
      <c r="A37" s="76"/>
      <c r="B37" s="1"/>
      <c r="C37" s="1" t="s">
        <v>10</v>
      </c>
      <c r="D37" s="55" t="s">
        <v>281</v>
      </c>
      <c r="E37" s="63"/>
      <c r="F37" s="136" t="e">
        <f t="shared" si="11"/>
        <v>#DIV/0!</v>
      </c>
      <c r="G37" s="63">
        <v>324045.69</v>
      </c>
      <c r="H37" s="136">
        <f t="shared" si="12"/>
        <v>0.03477568711667317</v>
      </c>
      <c r="I37" s="63">
        <v>324045.69</v>
      </c>
      <c r="J37" s="136">
        <f t="shared" si="13"/>
        <v>0.03443927175750683</v>
      </c>
      <c r="K37" s="63">
        <v>323595.69</v>
      </c>
      <c r="L37" s="136">
        <f t="shared" si="14"/>
        <v>0.03447823480764165</v>
      </c>
      <c r="M37" s="63">
        <v>323535.69</v>
      </c>
      <c r="N37" s="136">
        <f t="shared" si="15"/>
        <v>0.03451610143653279</v>
      </c>
      <c r="O37" s="63">
        <v>323535.69</v>
      </c>
      <c r="P37" s="136">
        <f t="shared" si="15"/>
        <v>0.034683470198880725</v>
      </c>
      <c r="Q37" s="63">
        <v>323535.69</v>
      </c>
      <c r="R37" s="136">
        <f t="shared" si="16"/>
        <v>0.03458212425713887</v>
      </c>
      <c r="S37" s="63">
        <v>323535.69</v>
      </c>
      <c r="T37" s="136">
        <f t="shared" si="17"/>
        <v>0.03508551923490696</v>
      </c>
      <c r="U37" s="63">
        <v>323238.94</v>
      </c>
      <c r="V37" s="136">
        <f t="shared" si="18"/>
        <v>0.03527398152122703</v>
      </c>
      <c r="W37" s="63">
        <v>323238.94</v>
      </c>
      <c r="X37" s="136">
        <f t="shared" si="19"/>
        <v>0.03508853394037231</v>
      </c>
      <c r="Y37" s="63">
        <v>276734.04</v>
      </c>
      <c r="Z37" s="136">
        <f t="shared" si="20"/>
        <v>0.029571136252532385</v>
      </c>
      <c r="AA37" s="63">
        <v>276134.04</v>
      </c>
      <c r="AB37" s="236">
        <f t="shared" si="21"/>
        <v>0.029431115895102365</v>
      </c>
      <c r="AC37" s="19"/>
    </row>
    <row r="38" spans="1:29" ht="12.75" customHeight="1">
      <c r="A38" s="76"/>
      <c r="B38" s="1"/>
      <c r="C38" s="1"/>
      <c r="D38" s="55" t="s">
        <v>121</v>
      </c>
      <c r="E38" s="63"/>
      <c r="F38" s="136" t="e">
        <f t="shared" si="11"/>
        <v>#DIV/0!</v>
      </c>
      <c r="G38" s="63">
        <v>79351.57</v>
      </c>
      <c r="H38" s="136">
        <f t="shared" si="12"/>
        <v>0.008515791000141954</v>
      </c>
      <c r="I38" s="63">
        <v>79251.57</v>
      </c>
      <c r="J38" s="136">
        <f t="shared" si="13"/>
        <v>0.008422782467617686</v>
      </c>
      <c r="K38" s="63">
        <v>79151.57</v>
      </c>
      <c r="L38" s="136">
        <f t="shared" si="14"/>
        <v>0.008433383077053606</v>
      </c>
      <c r="M38" s="63">
        <v>79051.57</v>
      </c>
      <c r="N38" s="136">
        <f t="shared" si="15"/>
        <v>0.008433542552406421</v>
      </c>
      <c r="O38" s="63">
        <v>78951.57</v>
      </c>
      <c r="P38" s="136">
        <f t="shared" si="15"/>
        <v>0.008463716708502378</v>
      </c>
      <c r="Q38" s="63">
        <v>78851.57</v>
      </c>
      <c r="R38" s="136">
        <f t="shared" si="16"/>
        <v>0.008428296710049157</v>
      </c>
      <c r="S38" s="63">
        <v>78751.57</v>
      </c>
      <c r="T38" s="136">
        <f t="shared" si="17"/>
        <v>0.008540138876221421</v>
      </c>
      <c r="U38" s="63">
        <v>78651.57</v>
      </c>
      <c r="V38" s="136">
        <f t="shared" si="18"/>
        <v>0.008582982071391194</v>
      </c>
      <c r="W38" s="63">
        <v>78141.51</v>
      </c>
      <c r="X38" s="136">
        <f t="shared" si="19"/>
        <v>0.008482489844159688</v>
      </c>
      <c r="Y38" s="63">
        <v>78041.51</v>
      </c>
      <c r="Z38" s="136">
        <f t="shared" si="20"/>
        <v>0.008339328712735768</v>
      </c>
      <c r="AA38" s="63">
        <v>77941.51</v>
      </c>
      <c r="AB38" s="236">
        <f t="shared" si="21"/>
        <v>0.008307217805705083</v>
      </c>
      <c r="AC38" s="19"/>
    </row>
    <row r="39" spans="1:29" ht="12.75" customHeight="1" hidden="1">
      <c r="A39" s="76"/>
      <c r="B39" s="1"/>
      <c r="C39" s="1"/>
      <c r="D39" s="55" t="s">
        <v>97</v>
      </c>
      <c r="E39" s="63"/>
      <c r="F39" s="136" t="e">
        <f t="shared" si="11"/>
        <v>#DIV/0!</v>
      </c>
      <c r="G39" s="63"/>
      <c r="H39" s="136">
        <f t="shared" si="12"/>
        <v>0</v>
      </c>
      <c r="I39" s="63"/>
      <c r="J39" s="136">
        <f t="shared" si="13"/>
        <v>0</v>
      </c>
      <c r="K39" s="63"/>
      <c r="L39" s="136">
        <f t="shared" si="14"/>
        <v>0</v>
      </c>
      <c r="M39" s="63"/>
      <c r="N39" s="136">
        <f t="shared" si="15"/>
        <v>0</v>
      </c>
      <c r="O39" s="63"/>
      <c r="P39" s="136">
        <f t="shared" si="15"/>
        <v>0</v>
      </c>
      <c r="Q39" s="63"/>
      <c r="R39" s="136">
        <f t="shared" si="16"/>
        <v>0</v>
      </c>
      <c r="S39" s="63"/>
      <c r="T39" s="136">
        <f t="shared" si="17"/>
        <v>0</v>
      </c>
      <c r="U39" s="63"/>
      <c r="V39" s="136">
        <f t="shared" si="18"/>
        <v>0</v>
      </c>
      <c r="W39" s="63"/>
      <c r="X39" s="136">
        <f t="shared" si="19"/>
        <v>0</v>
      </c>
      <c r="Y39" s="63"/>
      <c r="Z39" s="136">
        <f t="shared" si="20"/>
        <v>0</v>
      </c>
      <c r="AA39" s="63"/>
      <c r="AB39" s="236">
        <f t="shared" si="21"/>
        <v>0</v>
      </c>
      <c r="AC39" s="19"/>
    </row>
    <row r="40" spans="1:29" ht="12.75" customHeight="1" hidden="1">
      <c r="A40" s="76"/>
      <c r="B40" s="1"/>
      <c r="C40" s="1"/>
      <c r="D40" s="55" t="s">
        <v>278</v>
      </c>
      <c r="E40" s="63"/>
      <c r="F40" s="136" t="e">
        <f t="shared" si="11"/>
        <v>#DIV/0!</v>
      </c>
      <c r="G40" s="63"/>
      <c r="H40" s="136">
        <f t="shared" si="12"/>
        <v>0</v>
      </c>
      <c r="I40" s="63"/>
      <c r="J40" s="136">
        <f t="shared" si="13"/>
        <v>0</v>
      </c>
      <c r="K40" s="63"/>
      <c r="L40" s="136">
        <f t="shared" si="14"/>
        <v>0</v>
      </c>
      <c r="M40" s="63"/>
      <c r="N40" s="136">
        <f t="shared" si="15"/>
        <v>0</v>
      </c>
      <c r="O40" s="63"/>
      <c r="P40" s="136">
        <f t="shared" si="15"/>
        <v>0</v>
      </c>
      <c r="Q40" s="63"/>
      <c r="R40" s="136">
        <f t="shared" si="16"/>
        <v>0</v>
      </c>
      <c r="S40" s="63"/>
      <c r="T40" s="136">
        <f t="shared" si="17"/>
        <v>0</v>
      </c>
      <c r="U40" s="63"/>
      <c r="V40" s="136">
        <f t="shared" si="18"/>
        <v>0</v>
      </c>
      <c r="W40" s="63"/>
      <c r="X40" s="136">
        <f t="shared" si="19"/>
        <v>0</v>
      </c>
      <c r="Y40" s="63"/>
      <c r="Z40" s="136">
        <f t="shared" si="20"/>
        <v>0</v>
      </c>
      <c r="AA40" s="63"/>
      <c r="AB40" s="236">
        <f t="shared" si="21"/>
        <v>0</v>
      </c>
      <c r="AC40" s="19"/>
    </row>
    <row r="41" spans="1:29" ht="12.75" customHeight="1">
      <c r="A41" s="76"/>
      <c r="B41" s="1"/>
      <c r="C41" s="1"/>
      <c r="D41" s="55" t="s">
        <v>105</v>
      </c>
      <c r="E41" s="63"/>
      <c r="F41" s="136" t="e">
        <f t="shared" si="11"/>
        <v>#DIV/0!</v>
      </c>
      <c r="G41" s="63"/>
      <c r="H41" s="136">
        <f t="shared" si="12"/>
        <v>0</v>
      </c>
      <c r="I41" s="63">
        <v>0</v>
      </c>
      <c r="J41" s="136">
        <f t="shared" si="13"/>
        <v>0</v>
      </c>
      <c r="K41" s="63">
        <v>5000</v>
      </c>
      <c r="L41" s="136">
        <f t="shared" si="14"/>
        <v>0.0005327363106665859</v>
      </c>
      <c r="M41" s="63">
        <v>5000</v>
      </c>
      <c r="N41" s="136">
        <f t="shared" si="15"/>
        <v>0.0005334203073010707</v>
      </c>
      <c r="O41" s="63">
        <v>0</v>
      </c>
      <c r="P41" s="136">
        <f t="shared" si="15"/>
        <v>0</v>
      </c>
      <c r="Q41" s="63">
        <v>35000</v>
      </c>
      <c r="R41" s="136">
        <f t="shared" si="16"/>
        <v>0.003741084481281989</v>
      </c>
      <c r="S41" s="63">
        <v>35000</v>
      </c>
      <c r="T41" s="136">
        <f t="shared" si="17"/>
        <v>0.00379554160847523</v>
      </c>
      <c r="U41" s="63">
        <v>35000</v>
      </c>
      <c r="V41" s="136">
        <f t="shared" si="18"/>
        <v>0.0038194326254223764</v>
      </c>
      <c r="W41" s="63">
        <v>35000</v>
      </c>
      <c r="X41" s="136">
        <f t="shared" si="19"/>
        <v>0.0037993525406098383</v>
      </c>
      <c r="Y41" s="63">
        <v>35000</v>
      </c>
      <c r="Z41" s="136">
        <f t="shared" si="20"/>
        <v>0.0037400161138059977</v>
      </c>
      <c r="AA41" s="63">
        <v>35000</v>
      </c>
      <c r="AB41" s="236">
        <f t="shared" si="21"/>
        <v>0.00373039505136195</v>
      </c>
      <c r="AC41" s="19"/>
    </row>
    <row r="42" spans="1:29" ht="12.75" customHeight="1">
      <c r="A42" s="76"/>
      <c r="B42" s="1"/>
      <c r="C42" s="1"/>
      <c r="D42" s="55"/>
      <c r="E42" s="63"/>
      <c r="F42" s="136"/>
      <c r="G42" s="63"/>
      <c r="H42" s="136"/>
      <c r="I42" s="63"/>
      <c r="J42" s="136"/>
      <c r="K42" s="63"/>
      <c r="L42" s="136"/>
      <c r="M42" s="63"/>
      <c r="N42" s="136"/>
      <c r="O42" s="63"/>
      <c r="P42" s="136"/>
      <c r="Q42" s="63"/>
      <c r="R42" s="136"/>
      <c r="S42" s="63"/>
      <c r="T42" s="136"/>
      <c r="U42" s="63"/>
      <c r="V42" s="136"/>
      <c r="W42" s="63"/>
      <c r="X42" s="136"/>
      <c r="Y42" s="63"/>
      <c r="Z42" s="136"/>
      <c r="AA42" s="63"/>
      <c r="AB42" s="236"/>
      <c r="AC42" s="19"/>
    </row>
    <row r="43" spans="1:29" ht="12.75">
      <c r="A43" s="76"/>
      <c r="B43" s="1"/>
      <c r="C43" s="4" t="s">
        <v>11</v>
      </c>
      <c r="D43" s="56"/>
      <c r="E43" s="171">
        <f>SUM(E44:E54)</f>
        <v>0</v>
      </c>
      <c r="F43" s="137" t="e">
        <f aca="true" t="shared" si="22" ref="F43:F54">+E43/E$6</f>
        <v>#DIV/0!</v>
      </c>
      <c r="G43" s="171">
        <f>SUM(G44:G54)</f>
        <v>7103790.24</v>
      </c>
      <c r="H43" s="137">
        <f aca="true" t="shared" si="23" ref="H43:H54">+G43/G$6</f>
        <v>0.7623591189523817</v>
      </c>
      <c r="I43" s="171">
        <f>SUM(I44:I54)</f>
        <v>7094312.14</v>
      </c>
      <c r="J43" s="137">
        <f aca="true" t="shared" si="24" ref="J43:J54">+I43/I$6</f>
        <v>0.7539768349396648</v>
      </c>
      <c r="K43" s="171">
        <f>SUM(K44:K54)</f>
        <v>7095024.82</v>
      </c>
      <c r="L43" s="137">
        <f aca="true" t="shared" si="25" ref="L43:L54">+K43/K$6</f>
        <v>0.7559554693389317</v>
      </c>
      <c r="M43" s="171">
        <f>SUM(M44:M54)</f>
        <v>7096215.089999998</v>
      </c>
      <c r="N43" s="137">
        <f aca="true" t="shared" si="26" ref="N43:P54">+M43/M$6</f>
        <v>0.7570530467964589</v>
      </c>
      <c r="O43" s="171">
        <f>SUM(O44:O54)</f>
        <v>7081806.720000001</v>
      </c>
      <c r="P43" s="137">
        <f t="shared" si="26"/>
        <v>0.7591794040631291</v>
      </c>
      <c r="Q43" s="171">
        <f>SUM(Q44:Q54)</f>
        <v>7104037.91</v>
      </c>
      <c r="R43" s="137">
        <f aca="true" t="shared" si="27" ref="R43:R54">+Q43/Q$6</f>
        <v>0.7593373137011411</v>
      </c>
      <c r="S43" s="171">
        <f>SUM(S44:S54)</f>
        <v>7147238.58</v>
      </c>
      <c r="T43" s="137">
        <f aca="true" t="shared" si="28" ref="T43:T54">+S43/S$6</f>
        <v>0.7750754690311263</v>
      </c>
      <c r="U43" s="171">
        <f>SUM(U44:U54)</f>
        <v>7187012.029999999</v>
      </c>
      <c r="V43" s="137">
        <f aca="true" t="shared" si="29" ref="V43:V54">+U43/U$6</f>
        <v>0.7842945207624314</v>
      </c>
      <c r="W43" s="171">
        <f>SUM(W44:W54)</f>
        <v>7221870.4399999995</v>
      </c>
      <c r="X43" s="137">
        <f aca="true" t="shared" si="30" ref="X43:X54">+W43/W$6</f>
        <v>0.7839551944048311</v>
      </c>
      <c r="Y43" s="171">
        <f>SUM(Y44:Y54)</f>
        <v>7240696.869999999</v>
      </c>
      <c r="Z43" s="137">
        <f aca="true" t="shared" si="31" ref="Z43:Z54">+Y43/Y$6</f>
        <v>0.7737235133995614</v>
      </c>
      <c r="AA43" s="171">
        <f>SUM(AA44:AA54)</f>
        <v>7256030.359999999</v>
      </c>
      <c r="AB43" s="235">
        <f aca="true" t="shared" si="32" ref="AB43:AB54">+AA43/AA$6</f>
        <v>0.7733674213564591</v>
      </c>
      <c r="AC43" s="19"/>
    </row>
    <row r="44" spans="1:29" ht="12.75" customHeight="1">
      <c r="A44" s="76"/>
      <c r="B44" s="1"/>
      <c r="C44" s="1"/>
      <c r="D44" s="55" t="s">
        <v>12</v>
      </c>
      <c r="E44" s="63"/>
      <c r="F44" s="136" t="e">
        <f t="shared" si="22"/>
        <v>#DIV/0!</v>
      </c>
      <c r="G44" s="63">
        <v>911660.28</v>
      </c>
      <c r="H44" s="136">
        <f t="shared" si="23"/>
        <v>0.09783685953045282</v>
      </c>
      <c r="I44" s="63">
        <v>911660.28</v>
      </c>
      <c r="J44" s="136">
        <f t="shared" si="24"/>
        <v>0.09689039879976422</v>
      </c>
      <c r="K44" s="63">
        <v>911660.28</v>
      </c>
      <c r="L44" s="136">
        <f t="shared" si="25"/>
        <v>0.09713490682969335</v>
      </c>
      <c r="M44" s="63">
        <v>911660.28</v>
      </c>
      <c r="N44" s="136">
        <f t="shared" si="26"/>
        <v>0.09725962134235604</v>
      </c>
      <c r="O44" s="63">
        <v>911133.53</v>
      </c>
      <c r="P44" s="136">
        <f t="shared" si="26"/>
        <v>0.09767476544846103</v>
      </c>
      <c r="Q44" s="63">
        <v>911133.53</v>
      </c>
      <c r="R44" s="136">
        <f t="shared" si="27"/>
        <v>0.09738935741310507</v>
      </c>
      <c r="S44" s="63">
        <v>910334.53</v>
      </c>
      <c r="T44" s="136">
        <f t="shared" si="28"/>
        <v>0.09872035960704979</v>
      </c>
      <c r="U44" s="63">
        <v>910334.53</v>
      </c>
      <c r="V44" s="136">
        <f t="shared" si="29"/>
        <v>0.09934175439801557</v>
      </c>
      <c r="W44" s="63">
        <v>910334.53</v>
      </c>
      <c r="X44" s="136">
        <f t="shared" si="30"/>
        <v>0.09881948026743895</v>
      </c>
      <c r="Y44" s="63">
        <v>906609.53</v>
      </c>
      <c r="Z44" s="136">
        <f t="shared" si="31"/>
        <v>0.0968781214608595</v>
      </c>
      <c r="AA44" s="63">
        <v>903609.53</v>
      </c>
      <c r="AB44" s="236">
        <f t="shared" si="32"/>
        <v>0.09630915768787136</v>
      </c>
      <c r="AC44" s="19"/>
    </row>
    <row r="45" spans="1:29" ht="12.75" customHeight="1">
      <c r="A45" s="76"/>
      <c r="B45" s="1"/>
      <c r="C45" s="1"/>
      <c r="D45" s="55" t="s">
        <v>26</v>
      </c>
      <c r="E45" s="63"/>
      <c r="F45" s="136" t="e">
        <f t="shared" si="22"/>
        <v>#DIV/0!</v>
      </c>
      <c r="G45" s="63">
        <v>220166.14</v>
      </c>
      <c r="H45" s="136">
        <f t="shared" si="23"/>
        <v>0.023627621149121477</v>
      </c>
      <c r="I45" s="63">
        <v>220166.14</v>
      </c>
      <c r="J45" s="136">
        <f t="shared" si="24"/>
        <v>0.02339905069331826</v>
      </c>
      <c r="K45" s="63">
        <v>220166.14</v>
      </c>
      <c r="L45" s="136">
        <f t="shared" si="25"/>
        <v>0.023458099431460613</v>
      </c>
      <c r="M45" s="63">
        <v>209686.27</v>
      </c>
      <c r="N45" s="136">
        <f t="shared" si="26"/>
        <v>0.022370182916043056</v>
      </c>
      <c r="O45" s="63">
        <v>207957.83</v>
      </c>
      <c r="P45" s="136">
        <f t="shared" si="26"/>
        <v>0.022293364912628042</v>
      </c>
      <c r="Q45" s="63">
        <v>207957.83</v>
      </c>
      <c r="R45" s="136">
        <f t="shared" si="27"/>
        <v>0.02222822315925937</v>
      </c>
      <c r="S45" s="63">
        <v>207957.83</v>
      </c>
      <c r="T45" s="136">
        <f t="shared" si="28"/>
        <v>0.022551788473520528</v>
      </c>
      <c r="U45" s="63">
        <v>207957.83</v>
      </c>
      <c r="V45" s="136">
        <f t="shared" si="29"/>
        <v>0.022693740588972576</v>
      </c>
      <c r="W45" s="63">
        <v>207957.83</v>
      </c>
      <c r="X45" s="136">
        <f t="shared" si="30"/>
        <v>0.02257443170714882</v>
      </c>
      <c r="Y45" s="63">
        <v>207957.83</v>
      </c>
      <c r="Z45" s="136">
        <f t="shared" si="31"/>
        <v>0.022221875291203667</v>
      </c>
      <c r="AA45" s="63">
        <v>207957.83</v>
      </c>
      <c r="AB45" s="236">
        <f t="shared" si="32"/>
        <v>0.02216471028354199</v>
      </c>
      <c r="AC45" s="19"/>
    </row>
    <row r="46" spans="1:29" ht="12.75" customHeight="1">
      <c r="A46" s="76"/>
      <c r="B46" s="1"/>
      <c r="C46" s="1"/>
      <c r="D46" s="55" t="s">
        <v>13</v>
      </c>
      <c r="E46" s="63"/>
      <c r="F46" s="136" t="e">
        <f t="shared" si="22"/>
        <v>#DIV/0!</v>
      </c>
      <c r="G46" s="63">
        <v>1253483.33</v>
      </c>
      <c r="H46" s="136">
        <f t="shared" si="23"/>
        <v>0.13452036374884538</v>
      </c>
      <c r="I46" s="63">
        <v>1253483.33</v>
      </c>
      <c r="J46" s="136">
        <f t="shared" si="24"/>
        <v>0.13321903169079216</v>
      </c>
      <c r="K46" s="63">
        <v>1252797.08</v>
      </c>
      <c r="L46" s="136">
        <f t="shared" si="25"/>
        <v>0.13348209888261436</v>
      </c>
      <c r="M46" s="63">
        <v>1252797.08</v>
      </c>
      <c r="N46" s="136">
        <f t="shared" si="26"/>
        <v>0.13365348067989682</v>
      </c>
      <c r="O46" s="63">
        <v>1252797.08</v>
      </c>
      <c r="P46" s="136">
        <f t="shared" si="26"/>
        <v>0.13430156712981123</v>
      </c>
      <c r="Q46" s="63">
        <v>1252797.08</v>
      </c>
      <c r="R46" s="136">
        <f t="shared" si="27"/>
        <v>0.13390913469095403</v>
      </c>
      <c r="S46" s="63">
        <v>1252797.08</v>
      </c>
      <c r="T46" s="136">
        <f t="shared" si="28"/>
        <v>0.13585838411760778</v>
      </c>
      <c r="U46" s="63">
        <v>1250685.08</v>
      </c>
      <c r="V46" s="136">
        <f t="shared" si="29"/>
        <v>0.1364830685337427</v>
      </c>
      <c r="W46" s="63">
        <v>1241568.08</v>
      </c>
      <c r="X46" s="136">
        <f t="shared" si="30"/>
        <v>0.1347758525453737</v>
      </c>
      <c r="Y46" s="63">
        <v>1220220.08</v>
      </c>
      <c r="Z46" s="136">
        <f t="shared" si="31"/>
        <v>0.13038979318827554</v>
      </c>
      <c r="AA46" s="63">
        <v>1194863.08</v>
      </c>
      <c r="AB46" s="236">
        <f t="shared" si="32"/>
        <v>0.12735175201963136</v>
      </c>
      <c r="AC46" s="19"/>
    </row>
    <row r="47" spans="1:29" ht="12.75" customHeight="1">
      <c r="A47" s="76"/>
      <c r="B47" s="1"/>
      <c r="C47" s="1"/>
      <c r="D47" s="55" t="s">
        <v>54</v>
      </c>
      <c r="E47" s="63"/>
      <c r="F47" s="136" t="e">
        <f t="shared" si="22"/>
        <v>#DIV/0!</v>
      </c>
      <c r="G47" s="63">
        <v>43915.25</v>
      </c>
      <c r="H47" s="136">
        <f t="shared" si="23"/>
        <v>0.00471286315720009</v>
      </c>
      <c r="I47" s="63">
        <v>43915.25</v>
      </c>
      <c r="J47" s="136">
        <f t="shared" si="24"/>
        <v>0.004667271547567417</v>
      </c>
      <c r="K47" s="63">
        <v>43915.25</v>
      </c>
      <c r="L47" s="136">
        <f t="shared" si="25"/>
        <v>0.004679049653400158</v>
      </c>
      <c r="M47" s="63">
        <v>43915.25</v>
      </c>
      <c r="N47" s="136">
        <f t="shared" si="26"/>
        <v>0.004685057230040669</v>
      </c>
      <c r="O47" s="63">
        <v>43915.25</v>
      </c>
      <c r="P47" s="136">
        <f t="shared" si="26"/>
        <v>0.004707775097861373</v>
      </c>
      <c r="Q47" s="63">
        <v>43915.25</v>
      </c>
      <c r="R47" s="136">
        <f t="shared" si="27"/>
        <v>0.0046940188647605395</v>
      </c>
      <c r="S47" s="63">
        <v>43915.25</v>
      </c>
      <c r="T47" s="136">
        <f t="shared" si="28"/>
        <v>0.004762347389188339</v>
      </c>
      <c r="U47" s="63">
        <v>43915.25</v>
      </c>
      <c r="V47" s="136">
        <f t="shared" si="29"/>
        <v>0.004792323960102286</v>
      </c>
      <c r="W47" s="63">
        <v>43915.25</v>
      </c>
      <c r="X47" s="136">
        <f t="shared" si="30"/>
        <v>0.004767129047400463</v>
      </c>
      <c r="Y47" s="63">
        <v>43915.25</v>
      </c>
      <c r="Z47" s="136">
        <f t="shared" si="31"/>
        <v>0.0046926783611948245</v>
      </c>
      <c r="AA47" s="63">
        <v>43915.25</v>
      </c>
      <c r="AB47" s="236">
        <f t="shared" si="32"/>
        <v>0.004680606607980654</v>
      </c>
      <c r="AC47" s="19"/>
    </row>
    <row r="48" spans="1:29" ht="12.75" customHeight="1">
      <c r="A48" s="76"/>
      <c r="B48" s="1"/>
      <c r="C48" s="1"/>
      <c r="D48" s="55" t="s">
        <v>66</v>
      </c>
      <c r="E48" s="63"/>
      <c r="F48" s="136" t="e">
        <f t="shared" si="22"/>
        <v>#DIV/0!</v>
      </c>
      <c r="G48" s="63">
        <v>4403228.17</v>
      </c>
      <c r="H48" s="136">
        <f t="shared" si="23"/>
        <v>0.47254226755258305</v>
      </c>
      <c r="I48" s="63">
        <v>4403228.17</v>
      </c>
      <c r="J48" s="136">
        <f t="shared" si="24"/>
        <v>0.4679709566787926</v>
      </c>
      <c r="K48" s="63">
        <v>4403228.17</v>
      </c>
      <c r="L48" s="136">
        <f t="shared" si="25"/>
        <v>0.4691519060617965</v>
      </c>
      <c r="M48" s="63">
        <f>4369419.27</f>
        <v>4369419.27</v>
      </c>
      <c r="N48" s="136">
        <f t="shared" si="26"/>
        <v>0.466147393946124</v>
      </c>
      <c r="O48" s="63">
        <f>4369419.27</f>
        <v>4369419.27</v>
      </c>
      <c r="P48" s="136">
        <f t="shared" si="26"/>
        <v>0.4684077451778509</v>
      </c>
      <c r="Q48" s="63">
        <f>4369419.27</f>
        <v>4369419.27</v>
      </c>
      <c r="R48" s="136">
        <f t="shared" si="27"/>
        <v>0.46703904637747073</v>
      </c>
      <c r="S48" s="63">
        <f>4369419.27</f>
        <v>4369419.27</v>
      </c>
      <c r="T48" s="136">
        <f t="shared" si="28"/>
        <v>0.4738375041188133</v>
      </c>
      <c r="U48" s="63">
        <f>4369419.27</f>
        <v>4369419.27</v>
      </c>
      <c r="V48" s="136">
        <f t="shared" si="29"/>
        <v>0.4768200718282063</v>
      </c>
      <c r="W48" s="63">
        <f>4369419.27</f>
        <v>4369419.27</v>
      </c>
      <c r="X48" s="136">
        <f t="shared" si="30"/>
        <v>0.47431326298468807</v>
      </c>
      <c r="Y48" s="63">
        <f>4369419.27</f>
        <v>4369419.27</v>
      </c>
      <c r="Z48" s="136">
        <f t="shared" si="31"/>
        <v>0.4669056707935554</v>
      </c>
      <c r="AA48" s="63">
        <f>4369419.27</f>
        <v>4369419.27</v>
      </c>
      <c r="AB48" s="236">
        <f t="shared" si="32"/>
        <v>0.4657045720609584</v>
      </c>
      <c r="AC48" s="19"/>
    </row>
    <row r="49" spans="1:29" ht="12.75" customHeight="1">
      <c r="A49" s="76"/>
      <c r="B49" s="1"/>
      <c r="C49" s="1"/>
      <c r="D49" s="55" t="s">
        <v>122</v>
      </c>
      <c r="E49" s="63"/>
      <c r="F49" s="136" t="e">
        <f t="shared" si="22"/>
        <v>#DIV/0!</v>
      </c>
      <c r="G49" s="63">
        <v>367193.96</v>
      </c>
      <c r="H49" s="136">
        <f t="shared" si="23"/>
        <v>0.03940624010179615</v>
      </c>
      <c r="I49" s="63">
        <v>367193.96</v>
      </c>
      <c r="J49" s="136">
        <f t="shared" si="24"/>
        <v>0.03902502939062418</v>
      </c>
      <c r="K49" s="63">
        <v>367193.96</v>
      </c>
      <c r="L49" s="136">
        <f t="shared" si="25"/>
        <v>0.03912351110989079</v>
      </c>
      <c r="M49" s="63">
        <v>367193.96</v>
      </c>
      <c r="N49" s="136">
        <f t="shared" si="26"/>
        <v>0.03917374299645942</v>
      </c>
      <c r="O49" s="63">
        <v>367193.96</v>
      </c>
      <c r="P49" s="136">
        <f t="shared" si="26"/>
        <v>0.03936369668789555</v>
      </c>
      <c r="Q49" s="63">
        <v>367193.96</v>
      </c>
      <c r="R49" s="136">
        <f t="shared" si="27"/>
        <v>0.03924867501075656</v>
      </c>
      <c r="S49" s="63">
        <v>367193.96</v>
      </c>
      <c r="T49" s="136">
        <f t="shared" si="28"/>
        <v>0.039819998673165415</v>
      </c>
      <c r="U49" s="63">
        <v>367193.96</v>
      </c>
      <c r="V49" s="136">
        <f t="shared" si="29"/>
        <v>0.04007064544805826</v>
      </c>
      <c r="W49" s="63">
        <v>367193.96</v>
      </c>
      <c r="X49" s="136">
        <f t="shared" si="30"/>
        <v>0.03985998013778821</v>
      </c>
      <c r="Y49" s="63">
        <v>367193.96</v>
      </c>
      <c r="Z49" s="136">
        <f t="shared" si="31"/>
        <v>0.03923746649406386</v>
      </c>
      <c r="AA49" s="63">
        <v>367193.96</v>
      </c>
      <c r="AB49" s="236">
        <f t="shared" si="32"/>
        <v>0.03913652946497137</v>
      </c>
      <c r="AC49" s="19"/>
    </row>
    <row r="50" spans="1:28" ht="12.75" customHeight="1">
      <c r="A50" s="76"/>
      <c r="B50" s="1"/>
      <c r="C50" s="1"/>
      <c r="D50" s="55" t="s">
        <v>123</v>
      </c>
      <c r="E50" s="63"/>
      <c r="F50" s="136" t="e">
        <f t="shared" si="22"/>
        <v>#DIV/0!</v>
      </c>
      <c r="G50" s="63">
        <v>93781</v>
      </c>
      <c r="H50" s="136">
        <f t="shared" si="23"/>
        <v>0.010064317514881085</v>
      </c>
      <c r="I50" s="63">
        <v>93781</v>
      </c>
      <c r="J50" s="136">
        <f t="shared" si="24"/>
        <v>0.009966956649510592</v>
      </c>
      <c r="K50" s="63">
        <v>93781</v>
      </c>
      <c r="L50" s="136">
        <f t="shared" si="25"/>
        <v>0.00999210879012462</v>
      </c>
      <c r="M50" s="63">
        <v>93781</v>
      </c>
      <c r="N50" s="136">
        <f t="shared" si="26"/>
        <v>0.010004937967800344</v>
      </c>
      <c r="O50" s="63">
        <v>93781</v>
      </c>
      <c r="P50" s="136">
        <f t="shared" si="26"/>
        <v>0.010053451966060478</v>
      </c>
      <c r="Q50" s="63">
        <v>93781</v>
      </c>
      <c r="R50" s="136">
        <f t="shared" si="27"/>
        <v>0.010024075535403035</v>
      </c>
      <c r="S50" s="63">
        <v>93781</v>
      </c>
      <c r="T50" s="136">
        <f t="shared" si="28"/>
        <v>0.010169991073840446</v>
      </c>
      <c r="U50" s="63">
        <v>93781</v>
      </c>
      <c r="V50" s="136">
        <f t="shared" si="29"/>
        <v>0.010234006029849597</v>
      </c>
      <c r="W50" s="63">
        <v>93781</v>
      </c>
      <c r="X50" s="136">
        <f t="shared" si="30"/>
        <v>0.010180202303169465</v>
      </c>
      <c r="Y50" s="63">
        <v>93781</v>
      </c>
      <c r="Z50" s="136">
        <f t="shared" si="31"/>
        <v>0.010021212890538294</v>
      </c>
      <c r="AA50" s="63">
        <v>93781</v>
      </c>
      <c r="AB50" s="236">
        <f t="shared" si="32"/>
        <v>0.009995433666050716</v>
      </c>
    </row>
    <row r="51" spans="1:28" ht="12.75" customHeight="1">
      <c r="A51" s="76"/>
      <c r="B51" s="1"/>
      <c r="C51" s="1"/>
      <c r="D51" s="55" t="s">
        <v>93</v>
      </c>
      <c r="E51" s="63"/>
      <c r="F51" s="136" t="e">
        <f t="shared" si="22"/>
        <v>#DIV/0!</v>
      </c>
      <c r="G51" s="63">
        <v>1008853.01</v>
      </c>
      <c r="H51" s="136">
        <f t="shared" si="23"/>
        <v>0.10826731447183868</v>
      </c>
      <c r="I51" s="63">
        <v>1008853.01</v>
      </c>
      <c r="J51" s="136">
        <f t="shared" si="24"/>
        <v>0.10721995091114699</v>
      </c>
      <c r="K51" s="63">
        <v>1008853.01</v>
      </c>
      <c r="L51" s="136">
        <f t="shared" si="25"/>
        <v>0.10749052611045606</v>
      </c>
      <c r="M51" s="63">
        <v>1008853.01</v>
      </c>
      <c r="N51" s="136">
        <f t="shared" si="26"/>
        <v>0.10762853652316204</v>
      </c>
      <c r="O51" s="63">
        <v>1008853.01</v>
      </c>
      <c r="P51" s="136">
        <f t="shared" si="26"/>
        <v>0.10815042787825392</v>
      </c>
      <c r="Q51" s="63">
        <v>1008853.01</v>
      </c>
      <c r="R51" s="136">
        <f t="shared" si="27"/>
        <v>0.10783440970301782</v>
      </c>
      <c r="S51" s="63">
        <v>1008853.01</v>
      </c>
      <c r="T51" s="136">
        <f t="shared" si="28"/>
        <v>0.10940410217972793</v>
      </c>
      <c r="U51" s="63">
        <v>1008853.01</v>
      </c>
      <c r="V51" s="136">
        <f t="shared" si="29"/>
        <v>0.11009274573284476</v>
      </c>
      <c r="W51" s="63">
        <v>1008853.01</v>
      </c>
      <c r="X51" s="136">
        <f t="shared" si="30"/>
        <v>0.10951394990415379</v>
      </c>
      <c r="Y51" s="63">
        <v>1008853.01</v>
      </c>
      <c r="Z51" s="136">
        <f t="shared" si="31"/>
        <v>0.10780361468176239</v>
      </c>
      <c r="AA51" s="63">
        <v>1008853.01</v>
      </c>
      <c r="AB51" s="236">
        <f t="shared" si="32"/>
        <v>0.1075262936015888</v>
      </c>
    </row>
    <row r="52" spans="1:28" ht="12.75" customHeight="1">
      <c r="A52" s="76"/>
      <c r="B52" s="1"/>
      <c r="C52" s="1"/>
      <c r="D52" s="55" t="s">
        <v>124</v>
      </c>
      <c r="E52" s="63"/>
      <c r="F52" s="136" t="e">
        <f t="shared" si="22"/>
        <v>#DIV/0!</v>
      </c>
      <c r="G52" s="63">
        <v>300000</v>
      </c>
      <c r="H52" s="136">
        <f t="shared" si="23"/>
        <v>0.032195170178013946</v>
      </c>
      <c r="I52" s="63">
        <v>300000</v>
      </c>
      <c r="J52" s="136">
        <f t="shared" si="24"/>
        <v>0.0318837183955511</v>
      </c>
      <c r="K52" s="63">
        <v>300000</v>
      </c>
      <c r="L52" s="136">
        <f t="shared" si="25"/>
        <v>0.03196417863999516</v>
      </c>
      <c r="M52" s="63">
        <v>300000</v>
      </c>
      <c r="N52" s="136">
        <f t="shared" si="26"/>
        <v>0.03200521843806425</v>
      </c>
      <c r="O52" s="63">
        <v>300000</v>
      </c>
      <c r="P52" s="136">
        <f t="shared" si="26"/>
        <v>0.032160411915186905</v>
      </c>
      <c r="Q52" s="63">
        <v>300000</v>
      </c>
      <c r="R52" s="136">
        <f t="shared" si="27"/>
        <v>0.032066438410988475</v>
      </c>
      <c r="S52" s="63">
        <v>300000</v>
      </c>
      <c r="T52" s="136">
        <f t="shared" si="28"/>
        <v>0.03253321378693055</v>
      </c>
      <c r="U52" s="63">
        <v>300000</v>
      </c>
      <c r="V52" s="136">
        <f t="shared" si="29"/>
        <v>0.032737993932191796</v>
      </c>
      <c r="W52" s="63">
        <v>300000</v>
      </c>
      <c r="X52" s="136">
        <f t="shared" si="30"/>
        <v>0.032565878919512896</v>
      </c>
      <c r="Y52" s="63">
        <v>300000</v>
      </c>
      <c r="Z52" s="136">
        <f t="shared" si="31"/>
        <v>0.03205728097547998</v>
      </c>
      <c r="AA52" s="63">
        <v>300000</v>
      </c>
      <c r="AB52" s="236">
        <f t="shared" si="32"/>
        <v>0.031974814725959574</v>
      </c>
    </row>
    <row r="53" spans="1:28" ht="12.75" customHeight="1">
      <c r="A53" s="76"/>
      <c r="B53" s="1"/>
      <c r="C53" s="1"/>
      <c r="D53" s="55" t="s">
        <v>125</v>
      </c>
      <c r="E53" s="63"/>
      <c r="F53" s="136" t="e">
        <f t="shared" si="22"/>
        <v>#DIV/0!</v>
      </c>
      <c r="G53" s="63">
        <v>214559.67</v>
      </c>
      <c r="H53" s="136">
        <f t="shared" si="23"/>
        <v>0.023025950296628378</v>
      </c>
      <c r="I53" s="63">
        <v>161487.54</v>
      </c>
      <c r="J53" s="136">
        <f t="shared" si="24"/>
        <v>0.017162744165834312</v>
      </c>
      <c r="K53" s="63">
        <v>119292.44</v>
      </c>
      <c r="L53" s="136">
        <f t="shared" si="25"/>
        <v>0.012710282875203012</v>
      </c>
      <c r="M53" s="63">
        <v>124350.86</v>
      </c>
      <c r="N53" s="136">
        <f t="shared" si="26"/>
        <v>0.013266254790870485</v>
      </c>
      <c r="O53" s="63">
        <v>68164.81</v>
      </c>
      <c r="P53" s="136">
        <f t="shared" si="26"/>
        <v>0.007307361225734839</v>
      </c>
      <c r="Q53" s="63">
        <v>46396.33</v>
      </c>
      <c r="R53" s="136">
        <f t="shared" si="27"/>
        <v>0.004959216861469657</v>
      </c>
      <c r="S53" s="63">
        <v>46396.33</v>
      </c>
      <c r="T53" s="136">
        <f t="shared" si="28"/>
        <v>0.0050314057427299315</v>
      </c>
      <c r="U53" s="63">
        <v>44288.77</v>
      </c>
      <c r="V53" s="136">
        <f t="shared" si="29"/>
        <v>0.004833084945080794</v>
      </c>
      <c r="W53" s="63">
        <v>44288.77</v>
      </c>
      <c r="X53" s="136">
        <f t="shared" si="30"/>
        <v>0.004807675737713851</v>
      </c>
      <c r="Y53" s="63">
        <v>44288.77</v>
      </c>
      <c r="Z53" s="136">
        <f t="shared" si="31"/>
        <v>0.0047325918131613616</v>
      </c>
      <c r="AA53" s="63">
        <v>44288.77</v>
      </c>
      <c r="AB53" s="236">
        <f t="shared" si="32"/>
        <v>0.004720417383968788</v>
      </c>
    </row>
    <row r="54" spans="1:28" ht="12.75" customHeight="1">
      <c r="A54" s="76"/>
      <c r="B54" s="1"/>
      <c r="C54" s="1"/>
      <c r="D54" s="55" t="s">
        <v>14</v>
      </c>
      <c r="E54" s="63"/>
      <c r="F54" s="136" t="e">
        <f t="shared" si="22"/>
        <v>#DIV/0!</v>
      </c>
      <c r="G54" s="63">
        <f>-1409596.41-303454.16</f>
        <v>-1713050.5699999998</v>
      </c>
      <c r="H54" s="136">
        <f t="shared" si="23"/>
        <v>-0.18383984874897927</v>
      </c>
      <c r="I54" s="63">
        <f>-1384042.65-285413.89</f>
        <v>-1669456.54</v>
      </c>
      <c r="J54" s="136">
        <f t="shared" si="24"/>
        <v>-0.17742827398323696</v>
      </c>
      <c r="K54" s="63">
        <f>-1358488.89-267373.62</f>
        <v>-1625862.5099999998</v>
      </c>
      <c r="L54" s="136">
        <f t="shared" si="25"/>
        <v>-0.17323119904570303</v>
      </c>
      <c r="M54" s="63">
        <f>-1336108.54-249333.35</f>
        <v>-1585441.8900000001</v>
      </c>
      <c r="N54" s="136">
        <f t="shared" si="26"/>
        <v>-0.1691413800343581</v>
      </c>
      <c r="O54" s="63">
        <f>-1310003.24-231405.78</f>
        <v>-1541409.02</v>
      </c>
      <c r="P54" s="136">
        <f t="shared" si="26"/>
        <v>-0.16524116337661524</v>
      </c>
      <c r="Q54" s="63">
        <f>-213478.21-1283931.14</f>
        <v>-1497409.3499999999</v>
      </c>
      <c r="R54" s="136">
        <f t="shared" si="27"/>
        <v>-0.1600552823260443</v>
      </c>
      <c r="S54" s="63">
        <f>-1257859.04-195550.64</f>
        <v>-1453409.6800000002</v>
      </c>
      <c r="T54" s="136">
        <f t="shared" si="28"/>
        <v>-0.15761362613144772</v>
      </c>
      <c r="U54" s="63">
        <f>-1231793.6-177623.07</f>
        <v>-1409416.6700000002</v>
      </c>
      <c r="V54" s="136">
        <f t="shared" si="29"/>
        <v>-0.15380491463463325</v>
      </c>
      <c r="W54" s="63">
        <f>-1205745.76-159695.5</f>
        <v>-1365441.26</v>
      </c>
      <c r="X54" s="136">
        <f t="shared" si="30"/>
        <v>-0.1482226491495571</v>
      </c>
      <c r="Y54" s="63">
        <f>-1179773.9-141767.93</f>
        <v>-1321541.8299999998</v>
      </c>
      <c r="Z54" s="136">
        <f t="shared" si="31"/>
        <v>-0.14121679255053332</v>
      </c>
      <c r="AA54" s="63">
        <f>-1154010.98-123840.36</f>
        <v>-1277851.34</v>
      </c>
      <c r="AB54" s="236">
        <f t="shared" si="32"/>
        <v>-0.1361968661460639</v>
      </c>
    </row>
    <row r="55" spans="1:28" ht="12.75" customHeight="1">
      <c r="A55" s="76"/>
      <c r="B55" s="1"/>
      <c r="C55" s="1"/>
      <c r="D55" s="55"/>
      <c r="E55" s="172"/>
      <c r="F55" s="136"/>
      <c r="G55" s="172"/>
      <c r="H55" s="136"/>
      <c r="I55" s="172"/>
      <c r="J55" s="136"/>
      <c r="K55" s="172"/>
      <c r="L55" s="136"/>
      <c r="M55" s="172"/>
      <c r="N55" s="136"/>
      <c r="O55" s="172"/>
      <c r="P55" s="136"/>
      <c r="Q55" s="172"/>
      <c r="R55" s="136"/>
      <c r="S55" s="172"/>
      <c r="T55" s="136"/>
      <c r="U55" s="172"/>
      <c r="V55" s="136"/>
      <c r="W55" s="172"/>
      <c r="X55" s="136"/>
      <c r="Y55" s="172"/>
      <c r="Z55" s="136"/>
      <c r="AA55" s="172"/>
      <c r="AB55" s="236"/>
    </row>
    <row r="56" spans="1:28" ht="13.5" customHeight="1">
      <c r="A56" s="76"/>
      <c r="B56" s="1"/>
      <c r="C56" s="4" t="s">
        <v>82</v>
      </c>
      <c r="D56" s="55"/>
      <c r="E56" s="64">
        <f>SUM(E57:E61)</f>
        <v>0</v>
      </c>
      <c r="F56" s="137" t="e">
        <f aca="true" t="shared" si="33" ref="F56:F61">+E56/E$6</f>
        <v>#DIV/0!</v>
      </c>
      <c r="G56" s="64">
        <f>SUM(G57:G61)</f>
        <v>37587.159999999996</v>
      </c>
      <c r="H56" s="137">
        <f aca="true" t="shared" si="34" ref="H56:H61">+G56/G$6</f>
        <v>0.0040337500423607954</v>
      </c>
      <c r="I56" s="64">
        <f>SUM(I57:I61)</f>
        <v>38480.67</v>
      </c>
      <c r="J56" s="137">
        <f aca="true" t="shared" si="35" ref="J56:J61">+I56/I$6</f>
        <v>0.004089689486507104</v>
      </c>
      <c r="K56" s="64">
        <f>SUM(K57:K61)</f>
        <v>39374.17999999999</v>
      </c>
      <c r="L56" s="137">
        <f aca="true" t="shared" si="36" ref="L56:L61">+K56/K$6</f>
        <v>0.004195211077744414</v>
      </c>
      <c r="M56" s="64">
        <f>SUM(M57:M61)</f>
        <v>40267.689999999995</v>
      </c>
      <c r="N56" s="137">
        <f aca="true" t="shared" si="37" ref="N56:P61">+M56/M$6</f>
        <v>0.00429592071482085</v>
      </c>
      <c r="O56" s="64">
        <f>SUM(O57:O61)</f>
        <v>41161.2</v>
      </c>
      <c r="P56" s="137">
        <f t="shared" si="37"/>
        <v>0.004412537156411304</v>
      </c>
      <c r="Q56" s="64">
        <f>SUM(Q57:Q61)</f>
        <v>42054.71</v>
      </c>
      <c r="R56" s="137">
        <f aca="true" t="shared" si="38" ref="R56:R61">+Q56/Q$6</f>
        <v>0.004495149227023271</v>
      </c>
      <c r="S56" s="64">
        <f>SUM(S57:S61)</f>
        <v>42948.219999999994</v>
      </c>
      <c r="T56" s="137">
        <f aca="true" t="shared" si="39" ref="T56:T61">+S56/S$6</f>
        <v>0.004657478743427087</v>
      </c>
      <c r="U56" s="64">
        <f>SUM(U57:U61)</f>
        <v>43841.729999999996</v>
      </c>
      <c r="V56" s="137">
        <f aca="true" t="shared" si="40" ref="V56:V61">+U56/U$6</f>
        <v>0.00478430096905597</v>
      </c>
      <c r="W56" s="64">
        <f>SUM(W57:W61)</f>
        <v>44735.24</v>
      </c>
      <c r="X56" s="137">
        <f aca="true" t="shared" si="41" ref="X56:X61">+W56/W$6</f>
        <v>0.004856141364251167</v>
      </c>
      <c r="Y56" s="64">
        <f>SUM(Y57:Y61)</f>
        <v>45628.75</v>
      </c>
      <c r="Z56" s="137">
        <f aca="true" t="shared" si="42" ref="Z56:Z61">+Y56/Y$6</f>
        <v>0.00487577886436644</v>
      </c>
      <c r="AA56" s="64">
        <f>SUM(AA57:AA61)</f>
        <v>46522.259999999995</v>
      </c>
      <c r="AB56" s="235">
        <f aca="true" t="shared" si="43" ref="AB56:AB61">+AA56/AA$6</f>
        <v>0.004958468813776399</v>
      </c>
    </row>
    <row r="57" spans="1:28" ht="13.5" customHeight="1" hidden="1">
      <c r="A57" s="76"/>
      <c r="B57" s="1"/>
      <c r="C57" s="1"/>
      <c r="D57" s="55" t="s">
        <v>126</v>
      </c>
      <c r="E57" s="63"/>
      <c r="F57" s="136" t="e">
        <f t="shared" si="33"/>
        <v>#DIV/0!</v>
      </c>
      <c r="G57" s="63"/>
      <c r="H57" s="136">
        <f t="shared" si="34"/>
        <v>0</v>
      </c>
      <c r="I57" s="63"/>
      <c r="J57" s="136">
        <f t="shared" si="35"/>
        <v>0</v>
      </c>
      <c r="K57" s="63"/>
      <c r="L57" s="136">
        <f t="shared" si="36"/>
        <v>0</v>
      </c>
      <c r="M57" s="63"/>
      <c r="N57" s="136">
        <f t="shared" si="37"/>
        <v>0</v>
      </c>
      <c r="O57" s="63"/>
      <c r="P57" s="136">
        <f t="shared" si="37"/>
        <v>0</v>
      </c>
      <c r="Q57" s="63"/>
      <c r="R57" s="136">
        <f t="shared" si="38"/>
        <v>0</v>
      </c>
      <c r="S57" s="63"/>
      <c r="T57" s="136">
        <f t="shared" si="39"/>
        <v>0</v>
      </c>
      <c r="U57" s="63"/>
      <c r="V57" s="136">
        <f t="shared" si="40"/>
        <v>0</v>
      </c>
      <c r="W57" s="63"/>
      <c r="X57" s="136">
        <f t="shared" si="41"/>
        <v>0</v>
      </c>
      <c r="Y57" s="63"/>
      <c r="Z57" s="136">
        <f t="shared" si="42"/>
        <v>0</v>
      </c>
      <c r="AA57" s="63"/>
      <c r="AB57" s="236">
        <f t="shared" si="43"/>
        <v>0</v>
      </c>
    </row>
    <row r="58" spans="1:28" ht="13.5" customHeight="1">
      <c r="A58" s="76"/>
      <c r="B58" s="1"/>
      <c r="C58" s="1"/>
      <c r="D58" s="55" t="s">
        <v>127</v>
      </c>
      <c r="E58" s="63"/>
      <c r="F58" s="136" t="e">
        <f t="shared" si="33"/>
        <v>#DIV/0!</v>
      </c>
      <c r="G58" s="63">
        <v>53610.34</v>
      </c>
      <c r="H58" s="136">
        <f t="shared" si="34"/>
        <v>0.005753313398670626</v>
      </c>
      <c r="I58" s="63">
        <v>53610.34</v>
      </c>
      <c r="J58" s="136">
        <f t="shared" si="35"/>
        <v>0.005697656612165829</v>
      </c>
      <c r="K58" s="63">
        <v>53610.34</v>
      </c>
      <c r="L58" s="136">
        <f t="shared" si="36"/>
        <v>0.00571203494903626</v>
      </c>
      <c r="M58" s="63">
        <v>53610.34</v>
      </c>
      <c r="N58" s="136">
        <f t="shared" si="37"/>
        <v>0.0057193688074629765</v>
      </c>
      <c r="O58" s="63">
        <v>53610.34</v>
      </c>
      <c r="P58" s="136">
        <f t="shared" si="37"/>
        <v>0.005747102057710737</v>
      </c>
      <c r="Q58" s="63">
        <v>53610.34</v>
      </c>
      <c r="R58" s="136">
        <f t="shared" si="38"/>
        <v>0.005730308886007173</v>
      </c>
      <c r="S58" s="63">
        <v>53610.34</v>
      </c>
      <c r="T58" s="136">
        <f t="shared" si="39"/>
        <v>0.005813722174700113</v>
      </c>
      <c r="U58" s="63">
        <v>53610.34</v>
      </c>
      <c r="V58" s="136">
        <f t="shared" si="40"/>
        <v>0.005850316618742464</v>
      </c>
      <c r="W58" s="63">
        <v>53610.34</v>
      </c>
      <c r="X58" s="136">
        <f t="shared" si="41"/>
        <v>0.005819559470913063</v>
      </c>
      <c r="Y58" s="63">
        <v>53610.34</v>
      </c>
      <c r="Z58" s="136">
        <f t="shared" si="42"/>
        <v>0.005728672441903378</v>
      </c>
      <c r="AA58" s="172">
        <v>53610.34</v>
      </c>
      <c r="AB58" s="236">
        <f t="shared" si="43"/>
        <v>0.005713935629652331</v>
      </c>
    </row>
    <row r="59" spans="1:28" ht="13.5" customHeight="1" hidden="1">
      <c r="A59" s="76"/>
      <c r="B59" s="1"/>
      <c r="C59" s="1"/>
      <c r="D59" s="55" t="s">
        <v>128</v>
      </c>
      <c r="E59" s="63"/>
      <c r="F59" s="136" t="e">
        <f t="shared" si="33"/>
        <v>#DIV/0!</v>
      </c>
      <c r="G59" s="63"/>
      <c r="H59" s="136">
        <f t="shared" si="34"/>
        <v>0</v>
      </c>
      <c r="I59" s="63"/>
      <c r="J59" s="136">
        <f t="shared" si="35"/>
        <v>0</v>
      </c>
      <c r="K59" s="63"/>
      <c r="L59" s="136">
        <f t="shared" si="36"/>
        <v>0</v>
      </c>
      <c r="M59" s="63"/>
      <c r="N59" s="136">
        <f t="shared" si="37"/>
        <v>0</v>
      </c>
      <c r="O59" s="63"/>
      <c r="P59" s="136">
        <f t="shared" si="37"/>
        <v>0</v>
      </c>
      <c r="Q59" s="63"/>
      <c r="R59" s="136">
        <f t="shared" si="38"/>
        <v>0</v>
      </c>
      <c r="S59" s="63"/>
      <c r="T59" s="136">
        <f t="shared" si="39"/>
        <v>0</v>
      </c>
      <c r="U59" s="63"/>
      <c r="V59" s="136">
        <f t="shared" si="40"/>
        <v>0</v>
      </c>
      <c r="W59" s="63"/>
      <c r="X59" s="136">
        <f t="shared" si="41"/>
        <v>0</v>
      </c>
      <c r="Y59" s="63"/>
      <c r="Z59" s="136">
        <f t="shared" si="42"/>
        <v>0</v>
      </c>
      <c r="AA59" s="63">
        <v>0</v>
      </c>
      <c r="AB59" s="236">
        <f t="shared" si="43"/>
        <v>0</v>
      </c>
    </row>
    <row r="60" spans="1:28" ht="13.5" customHeight="1" thickBot="1">
      <c r="A60" s="93"/>
      <c r="B60" s="94"/>
      <c r="C60" s="94"/>
      <c r="D60" s="237" t="s">
        <v>289</v>
      </c>
      <c r="E60" s="238"/>
      <c r="F60" s="239" t="e">
        <f t="shared" si="33"/>
        <v>#DIV/0!</v>
      </c>
      <c r="G60" s="238">
        <v>-16023.18</v>
      </c>
      <c r="H60" s="239">
        <f t="shared" si="34"/>
        <v>-0.0017195633563098316</v>
      </c>
      <c r="I60" s="238">
        <v>-15129.67</v>
      </c>
      <c r="J60" s="239">
        <f t="shared" si="35"/>
        <v>-0.0016079671256587253</v>
      </c>
      <c r="K60" s="238">
        <v>-14236.16</v>
      </c>
      <c r="L60" s="239">
        <f t="shared" si="36"/>
        <v>-0.001516823871291845</v>
      </c>
      <c r="M60" s="238">
        <v>-13342.65</v>
      </c>
      <c r="N60" s="239">
        <f t="shared" si="37"/>
        <v>-0.0014234480926421263</v>
      </c>
      <c r="O60" s="238">
        <v>-12449.14</v>
      </c>
      <c r="P60" s="239">
        <f t="shared" si="37"/>
        <v>-0.001334564901299433</v>
      </c>
      <c r="Q60" s="238">
        <v>-11555.63</v>
      </c>
      <c r="R60" s="239">
        <f t="shared" si="38"/>
        <v>-0.0012351596589839026</v>
      </c>
      <c r="S60" s="238">
        <v>-10662.12</v>
      </c>
      <c r="T60" s="239">
        <f t="shared" si="39"/>
        <v>-0.0011562434312730266</v>
      </c>
      <c r="U60" s="238">
        <v>-9768.61</v>
      </c>
      <c r="V60" s="239">
        <f t="shared" si="40"/>
        <v>-0.0010660156496864939</v>
      </c>
      <c r="W60" s="238">
        <v>-8875.1</v>
      </c>
      <c r="X60" s="239">
        <f t="shared" si="41"/>
        <v>-0.0009634181066618965</v>
      </c>
      <c r="Y60" s="238">
        <v>-7981.59</v>
      </c>
      <c r="Z60" s="239">
        <f t="shared" si="42"/>
        <v>-0.0008528935775369375</v>
      </c>
      <c r="AA60" s="238">
        <v>-7088.08</v>
      </c>
      <c r="AB60" s="240">
        <f t="shared" si="43"/>
        <v>-0.0007554668158759317</v>
      </c>
    </row>
    <row r="61" spans="1:28" ht="13.5" customHeight="1" hidden="1">
      <c r="A61" s="54"/>
      <c r="B61" s="1"/>
      <c r="C61" s="1"/>
      <c r="D61" s="55" t="s">
        <v>129</v>
      </c>
      <c r="E61" s="63"/>
      <c r="F61" s="136" t="e">
        <f t="shared" si="33"/>
        <v>#DIV/0!</v>
      </c>
      <c r="G61" s="63"/>
      <c r="H61" s="136">
        <f t="shared" si="34"/>
        <v>0</v>
      </c>
      <c r="I61" s="63"/>
      <c r="J61" s="136">
        <f t="shared" si="35"/>
        <v>0</v>
      </c>
      <c r="K61" s="63"/>
      <c r="L61" s="136">
        <f t="shared" si="36"/>
        <v>0</v>
      </c>
      <c r="M61" s="63"/>
      <c r="N61" s="136">
        <f t="shared" si="37"/>
        <v>0</v>
      </c>
      <c r="O61" s="63"/>
      <c r="P61" s="136">
        <f t="shared" si="37"/>
        <v>0</v>
      </c>
      <c r="Q61" s="63"/>
      <c r="R61" s="136">
        <f t="shared" si="38"/>
        <v>0</v>
      </c>
      <c r="S61" s="63"/>
      <c r="T61" s="136">
        <f t="shared" si="39"/>
        <v>0</v>
      </c>
      <c r="U61" s="63"/>
      <c r="V61" s="136">
        <f t="shared" si="40"/>
        <v>0</v>
      </c>
      <c r="W61" s="63"/>
      <c r="X61" s="136">
        <f t="shared" si="41"/>
        <v>0</v>
      </c>
      <c r="Y61" s="63"/>
      <c r="Z61" s="136">
        <f t="shared" si="42"/>
        <v>0</v>
      </c>
      <c r="AA61" s="63">
        <v>0</v>
      </c>
      <c r="AB61" s="136">
        <f t="shared" si="43"/>
        <v>0</v>
      </c>
    </row>
    <row r="62" spans="1:28" ht="1.5" customHeight="1">
      <c r="A62" s="54"/>
      <c r="B62" s="1"/>
      <c r="C62" s="1"/>
      <c r="D62" s="55"/>
      <c r="E62" s="63"/>
      <c r="F62" s="170"/>
      <c r="G62" s="63"/>
      <c r="H62" s="170"/>
      <c r="I62" s="63"/>
      <c r="J62" s="170"/>
      <c r="K62" s="63"/>
      <c r="L62" s="170"/>
      <c r="M62" s="63"/>
      <c r="N62" s="170"/>
      <c r="O62" s="63"/>
      <c r="P62" s="170"/>
      <c r="Q62" s="63"/>
      <c r="R62" s="170"/>
      <c r="S62" s="63"/>
      <c r="T62" s="170"/>
      <c r="U62" s="63"/>
      <c r="V62" s="170"/>
      <c r="W62" s="63"/>
      <c r="X62" s="170"/>
      <c r="Y62" s="63"/>
      <c r="Z62" s="170"/>
      <c r="AA62" s="63"/>
      <c r="AB62" s="170"/>
    </row>
    <row r="63" spans="1:28" s="19" customFormat="1" ht="12.75" customHeight="1">
      <c r="A63" s="1"/>
      <c r="B63" s="1"/>
      <c r="C63" s="1"/>
      <c r="D63" s="1"/>
      <c r="E63" s="223"/>
      <c r="F63" s="224"/>
      <c r="G63" s="223"/>
      <c r="H63" s="224"/>
      <c r="I63" s="223"/>
      <c r="J63" s="224"/>
      <c r="K63" s="223"/>
      <c r="L63" s="224"/>
      <c r="M63" s="223"/>
      <c r="N63" s="224"/>
      <c r="O63" s="223"/>
      <c r="P63" s="224"/>
      <c r="Q63" s="223"/>
      <c r="R63" s="224"/>
      <c r="S63" s="223"/>
      <c r="T63" s="224"/>
      <c r="U63" s="223"/>
      <c r="V63" s="224"/>
      <c r="W63" s="223"/>
      <c r="X63" s="224"/>
      <c r="Y63" s="223"/>
      <c r="Z63" s="224"/>
      <c r="AA63" s="223"/>
      <c r="AB63" s="224"/>
    </row>
    <row r="64" spans="1:28" s="19" customFormat="1" ht="12.75" customHeight="1" thickBot="1">
      <c r="A64" s="1"/>
      <c r="B64" s="1"/>
      <c r="C64" s="1"/>
      <c r="D64" s="1"/>
      <c r="E64" s="223"/>
      <c r="F64" s="224"/>
      <c r="G64" s="223"/>
      <c r="H64" s="224"/>
      <c r="I64" s="223"/>
      <c r="J64" s="224"/>
      <c r="K64" s="223"/>
      <c r="L64" s="224"/>
      <c r="M64" s="223"/>
      <c r="N64" s="224"/>
      <c r="O64" s="223"/>
      <c r="P64" s="224"/>
      <c r="Q64" s="223"/>
      <c r="R64" s="224"/>
      <c r="S64" s="223"/>
      <c r="T64" s="224"/>
      <c r="U64" s="223"/>
      <c r="V64" s="224"/>
      <c r="W64" s="223"/>
      <c r="X64" s="224"/>
      <c r="Y64" s="223"/>
      <c r="Z64" s="224"/>
      <c r="AA64" s="223"/>
      <c r="AB64" s="224"/>
    </row>
    <row r="65" spans="1:28" ht="12.75">
      <c r="A65" s="225" t="s">
        <v>55</v>
      </c>
      <c r="B65" s="226"/>
      <c r="C65" s="226"/>
      <c r="D65" s="226"/>
      <c r="E65" s="226"/>
      <c r="F65" s="226"/>
      <c r="G65" s="226"/>
      <c r="H65" s="226"/>
      <c r="I65" s="226"/>
      <c r="J65" s="226"/>
      <c r="K65" s="226"/>
      <c r="L65" s="226"/>
      <c r="M65" s="226"/>
      <c r="N65" s="226"/>
      <c r="O65" s="226"/>
      <c r="P65" s="226"/>
      <c r="Q65" s="226"/>
      <c r="R65" s="226"/>
      <c r="S65" s="226"/>
      <c r="T65" s="226"/>
      <c r="U65" s="226"/>
      <c r="V65" s="226"/>
      <c r="W65" s="227"/>
      <c r="X65" s="227"/>
      <c r="Y65" s="227"/>
      <c r="Z65" s="227"/>
      <c r="AA65" s="227"/>
      <c r="AB65" s="228"/>
    </row>
    <row r="66" spans="1:28" ht="12.75">
      <c r="A66" s="229" t="str">
        <f>A2</f>
        <v>Demonstrações Contábeis Exercício 2020</v>
      </c>
      <c r="B66" s="108"/>
      <c r="C66" s="108"/>
      <c r="D66" s="108"/>
      <c r="E66" s="108"/>
      <c r="F66" s="108"/>
      <c r="G66" s="108"/>
      <c r="H66" s="108"/>
      <c r="I66" s="108"/>
      <c r="J66" s="108"/>
      <c r="K66" s="108"/>
      <c r="L66" s="108"/>
      <c r="M66" s="108"/>
      <c r="N66" s="108"/>
      <c r="O66" s="108"/>
      <c r="P66" s="108"/>
      <c r="Q66" s="108"/>
      <c r="R66" s="108"/>
      <c r="S66" s="108"/>
      <c r="T66" s="108"/>
      <c r="U66" s="108"/>
      <c r="V66" s="108"/>
      <c r="W66" s="142"/>
      <c r="X66" s="142"/>
      <c r="Y66" s="142"/>
      <c r="Z66" s="142"/>
      <c r="AA66" s="142"/>
      <c r="AB66" s="230"/>
    </row>
    <row r="67" spans="1:28" ht="12.75">
      <c r="A67" s="231" t="s">
        <v>27</v>
      </c>
      <c r="B67" s="109"/>
      <c r="C67" s="109"/>
      <c r="D67" s="109"/>
      <c r="E67" s="109"/>
      <c r="F67" s="109"/>
      <c r="G67" s="109"/>
      <c r="H67" s="109"/>
      <c r="I67" s="109"/>
      <c r="J67" s="109"/>
      <c r="K67" s="109"/>
      <c r="L67" s="109"/>
      <c r="M67" s="109"/>
      <c r="N67" s="109"/>
      <c r="O67" s="109"/>
      <c r="P67" s="109"/>
      <c r="Q67" s="109"/>
      <c r="R67" s="109"/>
      <c r="S67" s="109"/>
      <c r="T67" s="109"/>
      <c r="U67" s="109"/>
      <c r="V67" s="109"/>
      <c r="W67" s="115"/>
      <c r="X67" s="115"/>
      <c r="Y67" s="115"/>
      <c r="Z67" s="115"/>
      <c r="AA67" s="115"/>
      <c r="AB67" s="232"/>
    </row>
    <row r="68" spans="1:28" ht="12.75">
      <c r="A68" s="231" t="s">
        <v>0</v>
      </c>
      <c r="B68" s="134"/>
      <c r="C68" s="134"/>
      <c r="D68" s="135"/>
      <c r="E68" s="179">
        <f>E4</f>
        <v>44195</v>
      </c>
      <c r="F68" s="180" t="s">
        <v>134</v>
      </c>
      <c r="G68" s="179">
        <f>G4</f>
        <v>44165</v>
      </c>
      <c r="H68" s="180" t="s">
        <v>134</v>
      </c>
      <c r="I68" s="258">
        <f>I4</f>
        <v>44134</v>
      </c>
      <c r="J68" s="180" t="s">
        <v>134</v>
      </c>
      <c r="K68" s="179">
        <f>K4</f>
        <v>44104</v>
      </c>
      <c r="L68" s="180" t="s">
        <v>134</v>
      </c>
      <c r="M68" s="179">
        <f>M4</f>
        <v>44074</v>
      </c>
      <c r="N68" s="180" t="s">
        <v>134</v>
      </c>
      <c r="O68" s="179">
        <f>O4</f>
        <v>44013</v>
      </c>
      <c r="P68" s="180" t="s">
        <v>134</v>
      </c>
      <c r="Q68" s="179">
        <f>Q4</f>
        <v>43983</v>
      </c>
      <c r="R68" s="180" t="s">
        <v>134</v>
      </c>
      <c r="S68" s="179">
        <f>S4</f>
        <v>43952</v>
      </c>
      <c r="T68" s="180" t="s">
        <v>134</v>
      </c>
      <c r="U68" s="179">
        <f>U4</f>
        <v>43922</v>
      </c>
      <c r="V68" s="180" t="s">
        <v>134</v>
      </c>
      <c r="W68" s="179">
        <f>W4</f>
        <v>43891</v>
      </c>
      <c r="X68" s="180" t="s">
        <v>134</v>
      </c>
      <c r="Y68" s="179">
        <f>Y4</f>
        <v>43862</v>
      </c>
      <c r="Z68" s="180" t="s">
        <v>134</v>
      </c>
      <c r="AA68" s="179">
        <f>AA4</f>
        <v>43831</v>
      </c>
      <c r="AB68" s="233" t="s">
        <v>134</v>
      </c>
    </row>
    <row r="69" spans="1:28" ht="12.75" customHeight="1">
      <c r="A69" s="76"/>
      <c r="B69" s="1"/>
      <c r="C69" s="1"/>
      <c r="D69" s="55"/>
      <c r="E69" s="63"/>
      <c r="F69" s="170"/>
      <c r="G69" s="63"/>
      <c r="H69" s="170"/>
      <c r="I69" s="63"/>
      <c r="J69" s="170"/>
      <c r="K69" s="63"/>
      <c r="L69" s="170"/>
      <c r="M69" s="246"/>
      <c r="N69" s="170"/>
      <c r="O69" s="63"/>
      <c r="P69" s="170"/>
      <c r="Q69" s="63"/>
      <c r="R69" s="170"/>
      <c r="S69" s="63"/>
      <c r="T69" s="170"/>
      <c r="U69" s="63"/>
      <c r="V69" s="170"/>
      <c r="W69" s="246"/>
      <c r="X69" s="170"/>
      <c r="Y69" s="246"/>
      <c r="Z69" s="170"/>
      <c r="AA69" s="63"/>
      <c r="AB69" s="234"/>
    </row>
    <row r="70" spans="1:28" ht="15">
      <c r="A70" s="80" t="s">
        <v>15</v>
      </c>
      <c r="B70" s="4"/>
      <c r="C70" s="4"/>
      <c r="D70" s="56"/>
      <c r="E70" s="64">
        <f>E72+E89+E93</f>
        <v>0</v>
      </c>
      <c r="F70" s="137" t="e">
        <f>+E70/E$6</f>
        <v>#DIV/0!</v>
      </c>
      <c r="G70" s="64">
        <f>G72+G89+G93</f>
        <v>9318167.86</v>
      </c>
      <c r="H70" s="137">
        <f>+G70/G$6</f>
        <v>1</v>
      </c>
      <c r="I70" s="64">
        <f>I72+I89+I93</f>
        <v>9409191.12</v>
      </c>
      <c r="J70" s="137">
        <f>+I70/I$6</f>
        <v>1</v>
      </c>
      <c r="K70" s="64">
        <f>K72+K89+K93</f>
        <v>9385506.299999999</v>
      </c>
      <c r="L70" s="137">
        <f>+K70/K$6</f>
        <v>0.9999999999999998</v>
      </c>
      <c r="M70" s="64">
        <f>M72+M89+M93</f>
        <v>9373471.41</v>
      </c>
      <c r="N70" s="137">
        <f>+M70/M$6</f>
        <v>1.0000000000000002</v>
      </c>
      <c r="O70" s="64">
        <f>O72+O89+O93</f>
        <v>9328238.73</v>
      </c>
      <c r="P70" s="137">
        <f>+O70/O$6</f>
        <v>1</v>
      </c>
      <c r="Q70" s="64">
        <f>Q72+Q89+Q93</f>
        <v>9355575.95</v>
      </c>
      <c r="R70" s="137">
        <f>+Q70/Q$6</f>
        <v>1</v>
      </c>
      <c r="S70" s="64">
        <f>S72+S89+S93</f>
        <v>9221345.36</v>
      </c>
      <c r="T70" s="137">
        <f>+S70/S$6</f>
        <v>1</v>
      </c>
      <c r="U70" s="64">
        <f>U72+U89+U93</f>
        <v>9163664.719999999</v>
      </c>
      <c r="V70" s="137">
        <f>+U70/U$6</f>
        <v>1</v>
      </c>
      <c r="W70" s="64">
        <f>W72+W89+W93</f>
        <v>9212095.91</v>
      </c>
      <c r="X70" s="137">
        <f>+W70/W$6</f>
        <v>1</v>
      </c>
      <c r="Y70" s="64">
        <f>Y72+Y89+Y93</f>
        <v>9358248.45</v>
      </c>
      <c r="Z70" s="137">
        <f>+Y70/Y$6</f>
        <v>1</v>
      </c>
      <c r="AA70" s="64">
        <f>AA72+AA89+AA93</f>
        <v>9382384.309999999</v>
      </c>
      <c r="AB70" s="235">
        <f>+AA70/AA$6</f>
        <v>1</v>
      </c>
    </row>
    <row r="71" spans="1:32" ht="9" customHeight="1">
      <c r="A71" s="80"/>
      <c r="B71" s="4"/>
      <c r="C71" s="4"/>
      <c r="D71" s="56"/>
      <c r="E71" s="64"/>
      <c r="F71" s="173"/>
      <c r="G71" s="64"/>
      <c r="H71" s="173"/>
      <c r="I71" s="64"/>
      <c r="J71" s="173"/>
      <c r="K71" s="64"/>
      <c r="L71" s="173"/>
      <c r="M71" s="64"/>
      <c r="N71" s="173"/>
      <c r="O71" s="64"/>
      <c r="P71" s="173"/>
      <c r="Q71" s="64"/>
      <c r="R71" s="173"/>
      <c r="S71" s="64"/>
      <c r="T71" s="173"/>
      <c r="U71" s="64"/>
      <c r="V71" s="173"/>
      <c r="W71" s="64"/>
      <c r="X71" s="173"/>
      <c r="Y71" s="64"/>
      <c r="Z71" s="173"/>
      <c r="AA71" s="64"/>
      <c r="AB71" s="241"/>
      <c r="AF71" s="186"/>
    </row>
    <row r="72" spans="1:32" ht="12.75">
      <c r="A72" s="86"/>
      <c r="B72" s="4" t="s">
        <v>3</v>
      </c>
      <c r="C72" s="4"/>
      <c r="D72" s="56"/>
      <c r="E72" s="64">
        <f>+E74+E84</f>
        <v>0</v>
      </c>
      <c r="F72" s="137" t="e">
        <f>+E72/E$6</f>
        <v>#DIV/0!</v>
      </c>
      <c r="G72" s="64">
        <f>+G74+G84</f>
        <v>1442480.12</v>
      </c>
      <c r="H72" s="137">
        <f>+G72/G$6</f>
        <v>0.15480297647267327</v>
      </c>
      <c r="I72" s="64">
        <f>+I74+I84</f>
        <v>1613079.4</v>
      </c>
      <c r="J72" s="137">
        <f>+I72/I$6</f>
        <v>0.17143656446421507</v>
      </c>
      <c r="K72" s="64">
        <f>+K74+K84</f>
        <v>1720255.57</v>
      </c>
      <c r="L72" s="137">
        <f>+K72/K$6</f>
        <v>0.183288521153089</v>
      </c>
      <c r="M72" s="64">
        <f>+M74+M84</f>
        <v>1820563.13</v>
      </c>
      <c r="N72" s="137">
        <f>+M72/M$6</f>
        <v>0.19422506885311983</v>
      </c>
      <c r="O72" s="64">
        <f>+O74+O84</f>
        <v>1909855.74</v>
      </c>
      <c r="P72" s="137">
        <f>+O72/O$6</f>
        <v>0.20473915765661369</v>
      </c>
      <c r="Q72" s="64">
        <f>+Q74+Q84</f>
        <v>2136428.2800000003</v>
      </c>
      <c r="R72" s="137">
        <f>+Q72/Q$6</f>
        <v>0.2283588195337135</v>
      </c>
      <c r="S72" s="64">
        <f>+S74+S84</f>
        <v>2119327.18</v>
      </c>
      <c r="T72" s="137">
        <f>+S72/S$6</f>
        <v>0.22982841410464214</v>
      </c>
      <c r="U72" s="64">
        <f>+U74+U84</f>
        <v>2166635.61</v>
      </c>
      <c r="V72" s="137">
        <f>+U72/U$6</f>
        <v>0.23643767817816888</v>
      </c>
      <c r="W72" s="64">
        <f>+W74+W84</f>
        <v>2300942.98</v>
      </c>
      <c r="X72" s="137">
        <f>+W72/W$6</f>
        <v>0.24977410162461064</v>
      </c>
      <c r="Y72" s="64">
        <f>+Y74+Y84</f>
        <v>2640935.62</v>
      </c>
      <c r="Z72" s="137">
        <f>+Y72/Y$6</f>
        <v>0.2822040506949781</v>
      </c>
      <c r="AA72" s="64">
        <f>AA74+AA84</f>
        <v>2588925.7600000002</v>
      </c>
      <c r="AB72" s="235">
        <f>+AA72/AA$6</f>
        <v>0.2759347383842136</v>
      </c>
      <c r="AF72" s="186"/>
    </row>
    <row r="73" spans="1:32" ht="4.5" customHeight="1">
      <c r="A73" s="76"/>
      <c r="B73" s="1"/>
      <c r="C73" s="1"/>
      <c r="D73" s="55"/>
      <c r="E73" s="63"/>
      <c r="F73" s="170"/>
      <c r="G73" s="63"/>
      <c r="H73" s="170"/>
      <c r="I73" s="63"/>
      <c r="J73" s="170"/>
      <c r="K73" s="63"/>
      <c r="L73" s="170"/>
      <c r="M73" s="63"/>
      <c r="N73" s="170"/>
      <c r="O73" s="63"/>
      <c r="P73" s="170"/>
      <c r="Q73" s="63"/>
      <c r="R73" s="170"/>
      <c r="S73" s="63"/>
      <c r="T73" s="170"/>
      <c r="U73" s="63"/>
      <c r="V73" s="170"/>
      <c r="W73" s="63"/>
      <c r="X73" s="170"/>
      <c r="Y73" s="63"/>
      <c r="Z73" s="170"/>
      <c r="AA73" s="63"/>
      <c r="AB73" s="234"/>
      <c r="AF73" s="186"/>
    </row>
    <row r="74" spans="1:32" ht="12.75">
      <c r="A74" s="76"/>
      <c r="B74" s="1"/>
      <c r="C74" s="4" t="s">
        <v>16</v>
      </c>
      <c r="D74" s="56"/>
      <c r="E74" s="64">
        <f>SUM(E75:E82)</f>
        <v>0</v>
      </c>
      <c r="F74" s="137" t="e">
        <f aca="true" t="shared" si="44" ref="F74:F82">+E74/E$6</f>
        <v>#DIV/0!</v>
      </c>
      <c r="G74" s="64">
        <f>SUM(G75:G82)</f>
        <v>898176.25</v>
      </c>
      <c r="H74" s="137">
        <f aca="true" t="shared" si="45" ref="H74:H82">+G74/G$6</f>
        <v>0.09638979072866799</v>
      </c>
      <c r="I74" s="64">
        <f>SUM(I75:I82)</f>
        <v>1038327.47</v>
      </c>
      <c r="J74" s="137">
        <f aca="true" t="shared" si="46" ref="J74:J82">+I74/I$6</f>
        <v>0.11035246885281676</v>
      </c>
      <c r="K74" s="64">
        <f>SUM(K75:K82)</f>
        <v>1190896.32</v>
      </c>
      <c r="L74" s="137">
        <f aca="true" t="shared" si="47" ref="L74:L82">+K74/K$6</f>
        <v>0.1268867423806428</v>
      </c>
      <c r="M74" s="64">
        <f>SUM(M75:M82)</f>
        <v>1258963.72</v>
      </c>
      <c r="N74" s="137">
        <f aca="true" t="shared" si="48" ref="N74:P82">+M74/M$6</f>
        <v>0.13431136288065984</v>
      </c>
      <c r="O74" s="64">
        <f>SUM(O75:O82)</f>
        <v>1317154.21</v>
      </c>
      <c r="P74" s="137">
        <f t="shared" si="48"/>
        <v>0.14120073983140866</v>
      </c>
      <c r="Q74" s="64">
        <f>SUM(Q75:Q82)</f>
        <v>1446881.33</v>
      </c>
      <c r="R74" s="137">
        <f aca="true" t="shared" si="49" ref="R74:R82">+Q74/Q$6</f>
        <v>0.154654436854847</v>
      </c>
      <c r="S74" s="64">
        <f>SUM(S75:S82)</f>
        <v>1575536.8800000001</v>
      </c>
      <c r="T74" s="137">
        <f aca="true" t="shared" si="50" ref="T74:T82">+S74/S$6</f>
        <v>0.17085759382077848</v>
      </c>
      <c r="U74" s="64">
        <f>SUM(U75:U82)</f>
        <v>1739114.46</v>
      </c>
      <c r="V74" s="137">
        <f aca="true" t="shared" si="51" ref="V74:V82">+U74/U$6</f>
        <v>0.18978372879622338</v>
      </c>
      <c r="W74" s="64">
        <f>SUM(W75:W82)</f>
        <v>1872154.08</v>
      </c>
      <c r="X74" s="137">
        <f aca="true" t="shared" si="52" ref="X74:X82">+W74/W$6</f>
        <v>0.20322781029317355</v>
      </c>
      <c r="Y74" s="64">
        <f>SUM(Y75:Y82)</f>
        <v>2143743.1</v>
      </c>
      <c r="Z74" s="137">
        <f aca="true" t="shared" si="53" ref="Z74:Z82">+Y74/Y$6</f>
        <v>0.22907524965315493</v>
      </c>
      <c r="AA74" s="64">
        <f>SUM(AA75:AA82)</f>
        <v>1376383.3200000003</v>
      </c>
      <c r="AB74" s="235">
        <f aca="true" t="shared" si="54" ref="AB74:AB84">+AA74/AA$6</f>
        <v>0.14669867216300378</v>
      </c>
      <c r="AF74" s="186"/>
    </row>
    <row r="75" spans="1:28" ht="12.75">
      <c r="A75" s="76"/>
      <c r="B75" s="1"/>
      <c r="C75" s="1"/>
      <c r="D75" s="55" t="s">
        <v>17</v>
      </c>
      <c r="E75" s="63"/>
      <c r="F75" s="136" t="e">
        <f t="shared" si="44"/>
        <v>#DIV/0!</v>
      </c>
      <c r="G75" s="63">
        <v>187632.61</v>
      </c>
      <c r="H75" s="136">
        <f t="shared" si="45"/>
        <v>0.020136212699649735</v>
      </c>
      <c r="I75" s="63">
        <v>199274.9</v>
      </c>
      <c r="J75" s="136">
        <f t="shared" si="46"/>
        <v>0.021178749316338685</v>
      </c>
      <c r="K75" s="63">
        <v>193412.14</v>
      </c>
      <c r="L75" s="136">
        <f t="shared" si="47"/>
        <v>0.020607533980345843</v>
      </c>
      <c r="M75" s="63">
        <v>213581.3</v>
      </c>
      <c r="N75" s="136">
        <f t="shared" si="48"/>
        <v>0.022785720535952434</v>
      </c>
      <c r="O75" s="63">
        <v>190636.51</v>
      </c>
      <c r="P75" s="136">
        <f t="shared" si="48"/>
        <v>0.020436495625578827</v>
      </c>
      <c r="Q75" s="63">
        <v>238018.15</v>
      </c>
      <c r="R75" s="136">
        <f t="shared" si="49"/>
        <v>0.02544131449224139</v>
      </c>
      <c r="S75" s="63">
        <v>256348.43</v>
      </c>
      <c r="T75" s="136">
        <f t="shared" si="50"/>
        <v>0.02779946092378</v>
      </c>
      <c r="U75" s="63">
        <v>299155.8</v>
      </c>
      <c r="V75" s="136">
        <f t="shared" si="51"/>
        <v>0.03264586921726661</v>
      </c>
      <c r="W75" s="63">
        <v>277190.46</v>
      </c>
      <c r="X75" s="136">
        <f t="shared" si="52"/>
        <v>0.03008983652668028</v>
      </c>
      <c r="Y75" s="63">
        <v>295063.79</v>
      </c>
      <c r="Z75" s="136">
        <f t="shared" si="53"/>
        <v>0.0315298094057334</v>
      </c>
      <c r="AA75" s="63">
        <v>301560.24</v>
      </c>
      <c r="AB75" s="236">
        <f t="shared" si="54"/>
        <v>0.03214110934238634</v>
      </c>
    </row>
    <row r="76" spans="1:28" ht="12.75">
      <c r="A76" s="76"/>
      <c r="B76" s="1"/>
      <c r="C76" s="1"/>
      <c r="D76" s="55" t="s">
        <v>18</v>
      </c>
      <c r="E76" s="63"/>
      <c r="F76" s="136" t="e">
        <f t="shared" si="44"/>
        <v>#DIV/0!</v>
      </c>
      <c r="G76" s="63">
        <v>114550.58</v>
      </c>
      <c r="H76" s="136">
        <f t="shared" si="45"/>
        <v>0.012293251390300668</v>
      </c>
      <c r="I76" s="63">
        <v>104327.92</v>
      </c>
      <c r="J76" s="136">
        <f t="shared" si="46"/>
        <v>0.011087873406911943</v>
      </c>
      <c r="K76" s="63">
        <v>136821.42</v>
      </c>
      <c r="L76" s="136">
        <f t="shared" si="47"/>
        <v>0.014577947702192688</v>
      </c>
      <c r="M76" s="63">
        <v>98029.93</v>
      </c>
      <c r="N76" s="136">
        <f t="shared" si="48"/>
        <v>0.01045823107706049</v>
      </c>
      <c r="O76" s="63">
        <v>68178.51</v>
      </c>
      <c r="P76" s="136">
        <f t="shared" si="48"/>
        <v>0.007308829884545632</v>
      </c>
      <c r="Q76" s="63">
        <v>65795.69</v>
      </c>
      <c r="R76" s="136">
        <f t="shared" si="49"/>
        <v>0.007032778136978302</v>
      </c>
      <c r="S76" s="63">
        <v>70524.92</v>
      </c>
      <c r="T76" s="136">
        <f t="shared" si="50"/>
        <v>0.007648007665553912</v>
      </c>
      <c r="U76" s="63">
        <v>77928.92</v>
      </c>
      <c r="V76" s="136">
        <f t="shared" si="51"/>
        <v>0.008504121700340867</v>
      </c>
      <c r="W76" s="63">
        <v>64705.58</v>
      </c>
      <c r="X76" s="136">
        <f t="shared" si="52"/>
        <v>0.007023980278989518</v>
      </c>
      <c r="Y76" s="63">
        <v>110484.51</v>
      </c>
      <c r="Z76" s="136">
        <f t="shared" si="53"/>
        <v>0.011806109935027426</v>
      </c>
      <c r="AA76" s="63">
        <v>93572.89</v>
      </c>
      <c r="AB76" s="236">
        <f t="shared" si="54"/>
        <v>0.009973252737075318</v>
      </c>
    </row>
    <row r="77" spans="1:28" ht="12.75">
      <c r="A77" s="76"/>
      <c r="B77" s="1"/>
      <c r="C77" s="1"/>
      <c r="D77" s="55" t="s">
        <v>19</v>
      </c>
      <c r="E77" s="63"/>
      <c r="F77" s="136" t="e">
        <f t="shared" si="44"/>
        <v>#DIV/0!</v>
      </c>
      <c r="G77" s="63">
        <v>74780.3</v>
      </c>
      <c r="H77" s="136">
        <f t="shared" si="45"/>
        <v>0.008025214948209788</v>
      </c>
      <c r="I77" s="63">
        <v>66818.13</v>
      </c>
      <c r="J77" s="136">
        <f t="shared" si="46"/>
        <v>0.0071013681354577494</v>
      </c>
      <c r="K77" s="63">
        <v>103697.44</v>
      </c>
      <c r="L77" s="136">
        <f t="shared" si="47"/>
        <v>0.011048678322233932</v>
      </c>
      <c r="M77" s="63">
        <v>83431.05</v>
      </c>
      <c r="N77" s="136">
        <f t="shared" si="48"/>
        <v>0.0089007632658902</v>
      </c>
      <c r="O77" s="63">
        <v>104167.56</v>
      </c>
      <c r="P77" s="136">
        <f t="shared" si="48"/>
        <v>0.011166905459333156</v>
      </c>
      <c r="Q77" s="63">
        <v>89345.76</v>
      </c>
      <c r="R77" s="136">
        <f t="shared" si="49"/>
        <v>0.00955000103440986</v>
      </c>
      <c r="S77" s="63">
        <v>99522.16</v>
      </c>
      <c r="T77" s="136">
        <f t="shared" si="50"/>
        <v>0.010792585692723693</v>
      </c>
      <c r="U77" s="63">
        <v>101070.69</v>
      </c>
      <c r="V77" s="136">
        <f t="shared" si="51"/>
        <v>0.01102950545314146</v>
      </c>
      <c r="W77" s="63">
        <v>94837.29</v>
      </c>
      <c r="X77" s="136">
        <f t="shared" si="52"/>
        <v>0.010294865677315771</v>
      </c>
      <c r="Y77" s="63">
        <v>78186.11</v>
      </c>
      <c r="Z77" s="136">
        <f t="shared" si="53"/>
        <v>0.008354780322165951</v>
      </c>
      <c r="AA77" s="63">
        <v>73485.08</v>
      </c>
      <c r="AB77" s="236">
        <f t="shared" si="54"/>
        <v>0.007832239393741058</v>
      </c>
    </row>
    <row r="78" spans="1:28" ht="12.75">
      <c r="A78" s="76"/>
      <c r="B78" s="1"/>
      <c r="C78" s="1"/>
      <c r="D78" s="55" t="s">
        <v>20</v>
      </c>
      <c r="E78" s="63"/>
      <c r="F78" s="136" t="e">
        <f t="shared" si="44"/>
        <v>#DIV/0!</v>
      </c>
      <c r="G78" s="63">
        <f>33125.29+72614.37</f>
        <v>105739.66</v>
      </c>
      <c r="H78" s="136">
        <f t="shared" si="45"/>
        <v>0.011347687827551113</v>
      </c>
      <c r="I78" s="63">
        <f>21855.83+116358.79</f>
        <v>138214.62</v>
      </c>
      <c r="J78" s="136">
        <f t="shared" si="46"/>
        <v>0.014689320074093681</v>
      </c>
      <c r="K78" s="63">
        <f>16598.11+104859.41</f>
        <v>121457.52</v>
      </c>
      <c r="L78" s="136">
        <f t="shared" si="47"/>
        <v>0.012940966221502615</v>
      </c>
      <c r="M78" s="63">
        <f>25010.7+101931.72</f>
        <v>126942.42</v>
      </c>
      <c r="N78" s="136">
        <f t="shared" si="48"/>
        <v>0.013542732937188318</v>
      </c>
      <c r="O78" s="63">
        <f>26164.5+84168.17</f>
        <v>110332.67</v>
      </c>
      <c r="P78" s="136">
        <f t="shared" si="48"/>
        <v>0.011827813716341283</v>
      </c>
      <c r="Q78" s="63">
        <f>30746.76+75115.73</f>
        <v>105862.48999999999</v>
      </c>
      <c r="R78" s="136">
        <f t="shared" si="49"/>
        <v>0.011315443385396277</v>
      </c>
      <c r="S78" s="63">
        <f>39023.16+52863.21</f>
        <v>91886.37</v>
      </c>
      <c r="T78" s="136">
        <f t="shared" si="50"/>
        <v>0.009964529731050003</v>
      </c>
      <c r="U78" s="63">
        <f>37493.82+53880.7</f>
        <v>91374.51999999999</v>
      </c>
      <c r="V78" s="136">
        <f t="shared" si="51"/>
        <v>0.009971394937723125</v>
      </c>
      <c r="W78" s="63">
        <f>99658.6+55089.58</f>
        <v>154748.18</v>
      </c>
      <c r="X78" s="136">
        <f t="shared" si="52"/>
        <v>0.01679836830964996</v>
      </c>
      <c r="Y78" s="63">
        <f>246180.23+40509.42</f>
        <v>286689.65</v>
      </c>
      <c r="Z78" s="136">
        <f t="shared" si="53"/>
        <v>0.03063496887604005</v>
      </c>
      <c r="AA78" s="63">
        <f>247103.31+14350.62</f>
        <v>261453.93</v>
      </c>
      <c r="AB78" s="236">
        <f t="shared" si="54"/>
        <v>0.027866469903746676</v>
      </c>
    </row>
    <row r="79" spans="1:30" ht="12.75">
      <c r="A79" s="76"/>
      <c r="B79" s="1"/>
      <c r="C79" s="1"/>
      <c r="D79" s="55" t="s">
        <v>108</v>
      </c>
      <c r="E79" s="63"/>
      <c r="F79" s="136" t="e">
        <f t="shared" si="44"/>
        <v>#DIV/0!</v>
      </c>
      <c r="G79" s="63">
        <v>8376.93</v>
      </c>
      <c r="H79" s="136">
        <f t="shared" si="45"/>
        <v>0.0008989889563977012</v>
      </c>
      <c r="I79" s="63">
        <v>7230.62</v>
      </c>
      <c r="J79" s="136">
        <f t="shared" si="46"/>
        <v>0.0007684635063507989</v>
      </c>
      <c r="K79" s="63">
        <v>7986.69</v>
      </c>
      <c r="L79" s="136">
        <f t="shared" si="47"/>
        <v>0.000850959953007543</v>
      </c>
      <c r="M79" s="63">
        <v>5151.72</v>
      </c>
      <c r="N79" s="136">
        <f t="shared" si="48"/>
        <v>0.0005496064131058144</v>
      </c>
      <c r="O79" s="63">
        <v>2111.03</v>
      </c>
      <c r="P79" s="136">
        <f t="shared" si="48"/>
        <v>0.00022630531455105675</v>
      </c>
      <c r="Q79" s="63">
        <v>930.08</v>
      </c>
      <c r="R79" s="136">
        <f t="shared" si="49"/>
        <v>9.941451012430722E-05</v>
      </c>
      <c r="S79" s="63">
        <v>2711.61</v>
      </c>
      <c r="T79" s="136">
        <f t="shared" si="50"/>
        <v>0.0002940579594559291</v>
      </c>
      <c r="U79" s="63">
        <v>4361.69</v>
      </c>
      <c r="V79" s="136">
        <f t="shared" si="51"/>
        <v>0.00047597660251367206</v>
      </c>
      <c r="W79" s="63">
        <v>7707.15</v>
      </c>
      <c r="X79" s="136">
        <f t="shared" si="52"/>
        <v>0.0008366337123817461</v>
      </c>
      <c r="Y79" s="63">
        <v>9008.34</v>
      </c>
      <c r="Z79" s="136">
        <f t="shared" si="53"/>
        <v>0.0009626096216755178</v>
      </c>
      <c r="AA79" s="63">
        <v>14720.01</v>
      </c>
      <c r="AB79" s="236">
        <f t="shared" si="54"/>
        <v>0.0015688986417142406</v>
      </c>
      <c r="AD79" s="186"/>
    </row>
    <row r="80" spans="1:28" ht="12.75">
      <c r="A80" s="76"/>
      <c r="B80" s="1"/>
      <c r="C80" s="1"/>
      <c r="D80" s="55" t="s">
        <v>52</v>
      </c>
      <c r="E80" s="63"/>
      <c r="F80" s="136" t="e">
        <f t="shared" si="44"/>
        <v>#DIV/0!</v>
      </c>
      <c r="G80" s="63">
        <v>262042.2</v>
      </c>
      <c r="H80" s="136">
        <f t="shared" si="45"/>
        <v>0.028121644076070554</v>
      </c>
      <c r="I80" s="63">
        <v>266465.57</v>
      </c>
      <c r="J80" s="136">
        <f t="shared" si="46"/>
        <v>0.02831971065330003</v>
      </c>
      <c r="K80" s="63">
        <v>271138.3</v>
      </c>
      <c r="L80" s="136">
        <f t="shared" si="47"/>
        <v>0.028889043524481996</v>
      </c>
      <c r="M80" s="63">
        <v>273465.89</v>
      </c>
      <c r="N80" s="136">
        <f t="shared" si="48"/>
        <v>0.029174451816032163</v>
      </c>
      <c r="O80" s="63">
        <v>281748.95</v>
      </c>
      <c r="P80" s="136">
        <f t="shared" si="48"/>
        <v>0.030203874295571337</v>
      </c>
      <c r="Q80" s="63">
        <v>283902.39</v>
      </c>
      <c r="R80" s="136">
        <f t="shared" si="49"/>
        <v>0.03034579501222477</v>
      </c>
      <c r="S80" s="63">
        <v>289790.57</v>
      </c>
      <c r="T80" s="136">
        <f t="shared" si="50"/>
        <v>0.03142606189082154</v>
      </c>
      <c r="U80" s="63">
        <v>300191.08</v>
      </c>
      <c r="V80" s="136">
        <f t="shared" si="51"/>
        <v>0.03275884585179368</v>
      </c>
      <c r="W80" s="63">
        <v>303595.41</v>
      </c>
      <c r="X80" s="136">
        <f t="shared" si="52"/>
        <v>0.03295617120859958</v>
      </c>
      <c r="Y80" s="63">
        <v>308917.42</v>
      </c>
      <c r="Z80" s="136">
        <f t="shared" si="53"/>
        <v>0.03301017510386786</v>
      </c>
      <c r="AA80" s="63">
        <v>316553.21</v>
      </c>
      <c r="AB80" s="236">
        <f t="shared" si="54"/>
        <v>0.03373910080219258</v>
      </c>
    </row>
    <row r="81" spans="1:28" ht="12.75">
      <c r="A81" s="76"/>
      <c r="B81" s="1"/>
      <c r="C81" s="1"/>
      <c r="D81" s="55" t="s">
        <v>245</v>
      </c>
      <c r="E81" s="63"/>
      <c r="F81" s="136" t="e">
        <f t="shared" si="44"/>
        <v>#DIV/0!</v>
      </c>
      <c r="G81" s="63">
        <v>120033.1</v>
      </c>
      <c r="H81" s="136">
        <f t="shared" si="45"/>
        <v>0.012881620271648552</v>
      </c>
      <c r="I81" s="63">
        <v>230974.84</v>
      </c>
      <c r="J81" s="136">
        <f t="shared" si="46"/>
        <v>0.02454778918339157</v>
      </c>
      <c r="K81" s="63">
        <v>331361.94</v>
      </c>
      <c r="L81" s="136">
        <f t="shared" si="47"/>
        <v>0.03530570748218452</v>
      </c>
      <c r="M81" s="63">
        <v>433340.54</v>
      </c>
      <c r="N81" s="136">
        <f t="shared" si="48"/>
        <v>0.046230528802562385</v>
      </c>
      <c r="O81" s="63">
        <v>534958.11</v>
      </c>
      <c r="P81" s="136">
        <f t="shared" si="48"/>
        <v>0.057348243916566226</v>
      </c>
      <c r="Q81" s="63">
        <v>638005.9</v>
      </c>
      <c r="R81" s="136">
        <f t="shared" si="49"/>
        <v>0.06819525632732425</v>
      </c>
      <c r="S81" s="63">
        <v>739731.95</v>
      </c>
      <c r="T81" s="136">
        <f t="shared" si="50"/>
        <v>0.08021952558124339</v>
      </c>
      <c r="U81" s="63">
        <v>840010.89</v>
      </c>
      <c r="V81" s="136">
        <f t="shared" si="51"/>
        <v>0.09166757139931678</v>
      </c>
      <c r="W81" s="63">
        <v>944349.14</v>
      </c>
      <c r="X81" s="136">
        <f t="shared" si="52"/>
        <v>0.10251186583662045</v>
      </c>
      <c r="Y81" s="63">
        <v>1030372.41</v>
      </c>
      <c r="Z81" s="136">
        <f t="shared" si="53"/>
        <v>0.11010312618917487</v>
      </c>
      <c r="AA81" s="63">
        <v>290017.09</v>
      </c>
      <c r="AB81" s="236">
        <f t="shared" si="54"/>
        <v>0.030910809067039812</v>
      </c>
    </row>
    <row r="82" spans="1:28" ht="12.75">
      <c r="A82" s="76"/>
      <c r="B82" s="1"/>
      <c r="C82" s="1"/>
      <c r="D82" s="55" t="s">
        <v>282</v>
      </c>
      <c r="E82" s="63"/>
      <c r="F82" s="136" t="e">
        <f t="shared" si="44"/>
        <v>#DIV/0!</v>
      </c>
      <c r="G82" s="63">
        <v>25020.87</v>
      </c>
      <c r="H82" s="136">
        <f t="shared" si="45"/>
        <v>0.002685170558839879</v>
      </c>
      <c r="I82" s="63">
        <v>25020.87</v>
      </c>
      <c r="J82" s="136">
        <f t="shared" si="46"/>
        <v>0.0026591945769723086</v>
      </c>
      <c r="K82" s="63">
        <v>25020.87</v>
      </c>
      <c r="L82" s="136">
        <f t="shared" si="47"/>
        <v>0.002665905194693652</v>
      </c>
      <c r="M82" s="63">
        <v>25020.87</v>
      </c>
      <c r="N82" s="136">
        <f t="shared" si="48"/>
        <v>0.0026693280328680285</v>
      </c>
      <c r="O82" s="63">
        <v>25020.87</v>
      </c>
      <c r="P82" s="136">
        <f t="shared" si="48"/>
        <v>0.002682271618921142</v>
      </c>
      <c r="Q82" s="63">
        <v>25020.87</v>
      </c>
      <c r="R82" s="136">
        <f t="shared" si="49"/>
        <v>0.002674433956147831</v>
      </c>
      <c r="S82" s="63">
        <v>25020.87</v>
      </c>
      <c r="T82" s="136">
        <f t="shared" si="50"/>
        <v>0.0027133643761499894</v>
      </c>
      <c r="U82" s="63">
        <v>25020.87</v>
      </c>
      <c r="V82" s="136">
        <f t="shared" si="51"/>
        <v>0.002730443634127199</v>
      </c>
      <c r="W82" s="63">
        <v>25020.87</v>
      </c>
      <c r="X82" s="136">
        <f t="shared" si="52"/>
        <v>0.0027160887429362422</v>
      </c>
      <c r="Y82" s="63">
        <v>25020.87</v>
      </c>
      <c r="Z82" s="136">
        <f t="shared" si="53"/>
        <v>0.0026736701994698594</v>
      </c>
      <c r="AA82" s="63">
        <v>25020.87</v>
      </c>
      <c r="AB82" s="236">
        <f t="shared" si="54"/>
        <v>0.0026667922751077333</v>
      </c>
    </row>
    <row r="83" spans="1:28" ht="12.75">
      <c r="A83" s="76"/>
      <c r="B83" s="1"/>
      <c r="C83" s="1"/>
      <c r="D83" s="55"/>
      <c r="E83" s="63"/>
      <c r="F83" s="136"/>
      <c r="G83" s="63"/>
      <c r="H83" s="136"/>
      <c r="I83" s="63"/>
      <c r="J83" s="136"/>
      <c r="K83" s="63"/>
      <c r="L83" s="136"/>
      <c r="M83" s="63"/>
      <c r="N83" s="136"/>
      <c r="O83" s="63"/>
      <c r="P83" s="136"/>
      <c r="Q83" s="63"/>
      <c r="R83" s="136"/>
      <c r="S83" s="63"/>
      <c r="T83" s="136"/>
      <c r="U83" s="63"/>
      <c r="V83" s="136"/>
      <c r="W83" s="63"/>
      <c r="X83" s="136"/>
      <c r="Y83" s="63"/>
      <c r="Z83" s="136"/>
      <c r="AA83" s="63"/>
      <c r="AB83" s="236"/>
    </row>
    <row r="84" spans="1:28" ht="12.75">
      <c r="A84" s="76"/>
      <c r="B84" s="1"/>
      <c r="C84" s="4" t="s">
        <v>244</v>
      </c>
      <c r="D84" s="56"/>
      <c r="E84" s="64">
        <f>SUM(E85:E87)</f>
        <v>0</v>
      </c>
      <c r="F84" s="137" t="e">
        <f>+E84/E$6</f>
        <v>#DIV/0!</v>
      </c>
      <c r="G84" s="64">
        <f>SUM(G85:G87)</f>
        <v>544303.87</v>
      </c>
      <c r="H84" s="137">
        <f>+G84/G$6</f>
        <v>0.05841318574400527</v>
      </c>
      <c r="I84" s="64">
        <f>SUM(I85:I87)</f>
        <v>574751.93</v>
      </c>
      <c r="J84" s="137">
        <f>+I84/I$6</f>
        <v>0.061084095611398326</v>
      </c>
      <c r="K84" s="64">
        <f>SUM(K85:K87)</f>
        <v>529359.25</v>
      </c>
      <c r="L84" s="137">
        <f>+K84/K$6</f>
        <v>0.05640177877244619</v>
      </c>
      <c r="M84" s="64">
        <f>SUM(M85:M87)</f>
        <v>561599.4099999999</v>
      </c>
      <c r="N84" s="137">
        <f>+M84/M$6</f>
        <v>0.05991370597246</v>
      </c>
      <c r="O84" s="64">
        <f>SUM(O85:O87)</f>
        <v>592701.53</v>
      </c>
      <c r="P84" s="137">
        <f>+O84/O$6</f>
        <v>0.06353841782520504</v>
      </c>
      <c r="Q84" s="64">
        <f>SUM(Q85:Q87)</f>
        <v>689546.95</v>
      </c>
      <c r="R84" s="137">
        <f>+Q84/Q$6</f>
        <v>0.0737043826788665</v>
      </c>
      <c r="S84" s="64">
        <f>SUM(S85:S87)</f>
        <v>543790.2999999999</v>
      </c>
      <c r="T84" s="137">
        <f>+S84/S$6</f>
        <v>0.05897082028386365</v>
      </c>
      <c r="U84" s="64">
        <f>SUM(U85:U87)</f>
        <v>427521.15</v>
      </c>
      <c r="V84" s="137">
        <f>+U84/U$6</f>
        <v>0.04665394938194553</v>
      </c>
      <c r="W84" s="64">
        <f>SUM(W85:W87)</f>
        <v>428788.9</v>
      </c>
      <c r="X84" s="137">
        <f>+W84/W$6</f>
        <v>0.04654629133143708</v>
      </c>
      <c r="Y84" s="64">
        <f>SUM(Y85:Y87)</f>
        <v>497192.51999999996</v>
      </c>
      <c r="Z84" s="137">
        <f>+Y84/Y$6</f>
        <v>0.053128801041823166</v>
      </c>
      <c r="AA84" s="64">
        <f>SUM(AA85:AA87)</f>
        <v>1212542.44</v>
      </c>
      <c r="AB84" s="235">
        <f t="shared" si="54"/>
        <v>0.12923606622120984</v>
      </c>
    </row>
    <row r="85" spans="1:30" ht="12.75">
      <c r="A85" s="76"/>
      <c r="B85" s="1"/>
      <c r="C85" s="1"/>
      <c r="D85" s="55" t="s">
        <v>284</v>
      </c>
      <c r="E85" s="63"/>
      <c r="F85" s="136" t="e">
        <f>+E85/E$6</f>
        <v>#DIV/0!</v>
      </c>
      <c r="G85" s="63">
        <v>10414</v>
      </c>
      <c r="H85" s="136">
        <f>+G85/G$6</f>
        <v>0.0011176016741127907</v>
      </c>
      <c r="I85" s="63">
        <v>24571.5</v>
      </c>
      <c r="J85" s="136">
        <f>+I85/I$6</f>
        <v>0.0026114359551876127</v>
      </c>
      <c r="K85" s="63">
        <v>26532</v>
      </c>
      <c r="L85" s="136">
        <f>+K85/K$6</f>
        <v>0.0028269119589211717</v>
      </c>
      <c r="M85" s="63">
        <v>29745</v>
      </c>
      <c r="N85" s="136">
        <f>+M85/M$6</f>
        <v>0.0031733174081340697</v>
      </c>
      <c r="O85" s="63">
        <v>34579.5</v>
      </c>
      <c r="P85" s="136">
        <f>+O85/O$6</f>
        <v>0.003706969879404019</v>
      </c>
      <c r="Q85" s="63">
        <v>44705</v>
      </c>
      <c r="R85" s="136">
        <f>+Q85/Q$6</f>
        <v>0.004778433763877467</v>
      </c>
      <c r="S85" s="63">
        <v>11243.19</v>
      </c>
      <c r="T85" s="136">
        <f>+S85/S$6</f>
        <v>0.0012192570130569321</v>
      </c>
      <c r="U85" s="63">
        <v>15037.19</v>
      </c>
      <c r="V85" s="136">
        <f>+U85/U$6</f>
        <v>0.0016409581165907172</v>
      </c>
      <c r="W85" s="63">
        <v>10173.03</v>
      </c>
      <c r="X85" s="136">
        <f>+W85/W$6</f>
        <v>0.0011043122107485745</v>
      </c>
      <c r="Y85" s="63">
        <v>11878.43</v>
      </c>
      <c r="Z85" s="136">
        <f>+Y85/Y$6</f>
        <v>0.0012693005601919023</v>
      </c>
      <c r="AA85" s="63">
        <v>17165.78</v>
      </c>
      <c r="AB85" s="236">
        <f>+AA85/AA$6</f>
        <v>0.001829575450421941</v>
      </c>
      <c r="AD85" s="186"/>
    </row>
    <row r="86" spans="1:28" ht="12.75">
      <c r="A86" s="76"/>
      <c r="B86" s="1"/>
      <c r="C86" s="1"/>
      <c r="D86" s="55" t="s">
        <v>285</v>
      </c>
      <c r="E86" s="63"/>
      <c r="F86" s="136" t="e">
        <f>+E86/E$6</f>
        <v>#DIV/0!</v>
      </c>
      <c r="G86" s="63">
        <v>35990.85</v>
      </c>
      <c r="H86" s="136">
        <f>+G86/G$6</f>
        <v>0.003862438468671244</v>
      </c>
      <c r="I86" s="63">
        <v>41132.4</v>
      </c>
      <c r="J86" s="136">
        <f>+I86/I$6</f>
        <v>0.00437151286177722</v>
      </c>
      <c r="K86" s="63">
        <v>46273.95</v>
      </c>
      <c r="L86" s="136">
        <f>+K86/K$6</f>
        <v>0.004930362680594012</v>
      </c>
      <c r="M86" s="63">
        <v>51415.5</v>
      </c>
      <c r="N86" s="136">
        <f>+M86/M$6</f>
        <v>0.00548521436200764</v>
      </c>
      <c r="O86" s="63">
        <v>56557.05</v>
      </c>
      <c r="P86" s="136">
        <f>+O86/O$6</f>
        <v>0.006062993415692739</v>
      </c>
      <c r="Q86" s="63">
        <v>61698.6</v>
      </c>
      <c r="R86" s="136">
        <f>+Q86/Q$6</f>
        <v>0.006594847856480712</v>
      </c>
      <c r="S86" s="63">
        <v>36106.7</v>
      </c>
      <c r="T86" s="136">
        <f>+S86/S$6</f>
        <v>0.003915556634135217</v>
      </c>
      <c r="U86" s="63">
        <v>41228.2</v>
      </c>
      <c r="V86" s="136">
        <f>+U86/U$6</f>
        <v>0.004499095204783966</v>
      </c>
      <c r="W86" s="63">
        <v>46348.29</v>
      </c>
      <c r="X86" s="136">
        <f>+W86/W$6</f>
        <v>0.005031242667554902</v>
      </c>
      <c r="Y86" s="63">
        <v>51466.67</v>
      </c>
      <c r="Z86" s="136">
        <f>+Y86/Y$6</f>
        <v>0.005499605003541021</v>
      </c>
      <c r="AA86" s="63">
        <v>56584.25</v>
      </c>
      <c r="AB86" s="236">
        <f>+AA86/AA$6</f>
        <v>0.006030903033857927</v>
      </c>
    </row>
    <row r="87" spans="1:28" ht="12.75">
      <c r="A87" s="76"/>
      <c r="B87" s="1"/>
      <c r="C87" s="1"/>
      <c r="D87" s="55" t="s">
        <v>87</v>
      </c>
      <c r="E87" s="63"/>
      <c r="F87" s="136" t="e">
        <f>+E87/E$6</f>
        <v>#DIV/0!</v>
      </c>
      <c r="G87" s="63">
        <v>497899.02</v>
      </c>
      <c r="H87" s="136">
        <f>+G87/G$6</f>
        <v>0.053433145601221234</v>
      </c>
      <c r="I87" s="63">
        <v>509048.03</v>
      </c>
      <c r="J87" s="136">
        <f>+I87/I$6</f>
        <v>0.054101146794433494</v>
      </c>
      <c r="K87" s="63">
        <v>456553.3</v>
      </c>
      <c r="L87" s="136">
        <f>+K87/K$6</f>
        <v>0.048644504132931005</v>
      </c>
      <c r="M87" s="63">
        <v>480438.91</v>
      </c>
      <c r="N87" s="136">
        <f>+M87/M$6</f>
        <v>0.051255174202318295</v>
      </c>
      <c r="O87" s="63">
        <v>501564.98</v>
      </c>
      <c r="P87" s="136">
        <f>+O87/O$6</f>
        <v>0.05376845453010828</v>
      </c>
      <c r="Q87" s="63">
        <v>583143.35</v>
      </c>
      <c r="R87" s="136">
        <f>+Q87/Q$6</f>
        <v>0.06233110105850832</v>
      </c>
      <c r="S87" s="63">
        <v>496440.41</v>
      </c>
      <c r="T87" s="136">
        <f>+S87/S$6</f>
        <v>0.053836006636671506</v>
      </c>
      <c r="U87" s="63">
        <v>371255.76</v>
      </c>
      <c r="V87" s="136">
        <f>+U87/U$6</f>
        <v>0.04051389606057085</v>
      </c>
      <c r="W87" s="63">
        <v>372267.58</v>
      </c>
      <c r="X87" s="136">
        <f>+W87/W$6</f>
        <v>0.04041073645313361</v>
      </c>
      <c r="Y87" s="63">
        <v>433847.42</v>
      </c>
      <c r="Z87" s="136">
        <f>+Y87/Y$6</f>
        <v>0.04635989547809024</v>
      </c>
      <c r="AA87" s="63">
        <v>1138792.41</v>
      </c>
      <c r="AB87" s="236">
        <f>+AA87/AA$6</f>
        <v>0.12137558773692997</v>
      </c>
    </row>
    <row r="88" spans="1:28" ht="8.25" customHeight="1">
      <c r="A88" s="76"/>
      <c r="B88" s="1"/>
      <c r="C88" s="1"/>
      <c r="D88" s="55"/>
      <c r="E88" s="63"/>
      <c r="F88" s="136"/>
      <c r="G88" s="63"/>
      <c r="H88" s="136"/>
      <c r="I88" s="63"/>
      <c r="J88" s="136"/>
      <c r="K88" s="63"/>
      <c r="L88" s="136"/>
      <c r="M88" s="63"/>
      <c r="N88" s="136"/>
      <c r="O88" s="63"/>
      <c r="P88" s="136"/>
      <c r="Q88" s="63"/>
      <c r="R88" s="136"/>
      <c r="S88" s="63"/>
      <c r="T88" s="136"/>
      <c r="U88" s="63"/>
      <c r="V88" s="136"/>
      <c r="W88" s="63"/>
      <c r="X88" s="136"/>
      <c r="Y88" s="63"/>
      <c r="Z88" s="136"/>
      <c r="AA88" s="63"/>
      <c r="AB88" s="236"/>
    </row>
    <row r="89" spans="1:28" ht="12.75">
      <c r="A89" s="242"/>
      <c r="B89" s="268" t="s">
        <v>88</v>
      </c>
      <c r="C89" s="268"/>
      <c r="D89" s="268"/>
      <c r="E89" s="243">
        <f>SUM(E90:E91)</f>
        <v>0</v>
      </c>
      <c r="F89" s="137" t="e">
        <f aca="true" t="shared" si="55" ref="F89:F94">+E89/E$6</f>
        <v>#DIV/0!</v>
      </c>
      <c r="G89" s="243">
        <f>SUM(G90:G91)</f>
        <v>631748.0599999999</v>
      </c>
      <c r="H89" s="137">
        <f aca="true" t="shared" si="56" ref="H89:H94">+G89/G$6</f>
        <v>0.06779745433776721</v>
      </c>
      <c r="I89" s="220">
        <f>SUM(I90:I91)</f>
        <v>631748.0599999999</v>
      </c>
      <c r="J89" s="137">
        <f aca="true" t="shared" si="57" ref="J89:J94">+I89/I$6</f>
        <v>0.06714159080658572</v>
      </c>
      <c r="K89" s="220">
        <f>SUM(K90:K91)</f>
        <v>631748.0599999999</v>
      </c>
      <c r="L89" s="137">
        <f aca="true" t="shared" si="58" ref="L89:L94">+K89/K$6</f>
        <v>0.06731102615103458</v>
      </c>
      <c r="M89" s="220">
        <f>SUM(M90:M91)</f>
        <v>631748.0599999999</v>
      </c>
      <c r="N89" s="137">
        <f>+M89/M$6</f>
        <v>0.06739744886041105</v>
      </c>
      <c r="O89" s="220">
        <f>SUM(O90:O91)</f>
        <v>631748.0599999999</v>
      </c>
      <c r="P89" s="137">
        <f>+O89/O$6</f>
        <v>0.06772425945406738</v>
      </c>
      <c r="Q89" s="220">
        <f>SUM(Q90:Q91)</f>
        <v>631748.0599999999</v>
      </c>
      <c r="R89" s="137">
        <f aca="true" t="shared" si="59" ref="R89:R94">+Q89/Q$6</f>
        <v>0.0675263675241715</v>
      </c>
      <c r="S89" s="220">
        <f>SUM(S90:S91)</f>
        <v>764451.8200000001</v>
      </c>
      <c r="T89" s="137">
        <f aca="true" t="shared" si="60" ref="T89:T94">+S89/S$6</f>
        <v>0.0829002482995605</v>
      </c>
      <c r="U89" s="220">
        <f>SUM(U90:U91)</f>
        <v>764451.8200000001</v>
      </c>
      <c r="V89" s="137">
        <f aca="true" t="shared" si="61" ref="V89:V94">+U89/U$6</f>
        <v>0.08342206348204326</v>
      </c>
      <c r="W89" s="220">
        <f>SUM(W90:W91)</f>
        <v>764451.8200000001</v>
      </c>
      <c r="X89" s="137">
        <f aca="true" t="shared" si="62" ref="X89:X94">+W89/W$6</f>
        <v>0.08298348469973757</v>
      </c>
      <c r="Y89" s="220">
        <f>SUM(Y90:Y91)</f>
        <v>764451.8200000001</v>
      </c>
      <c r="Z89" s="137">
        <f>+Y89/Y$6</f>
        <v>0.0816874892865235</v>
      </c>
      <c r="AA89" s="220">
        <f>SUM(AA90:AA91)</f>
        <v>764451.8200000001</v>
      </c>
      <c r="AB89" s="235">
        <f>+AA89/AA$6</f>
        <v>0.08147735103807532</v>
      </c>
    </row>
    <row r="90" spans="1:28" s="52" customFormat="1" ht="12.75" customHeight="1">
      <c r="A90" s="76"/>
      <c r="B90" s="1"/>
      <c r="C90" s="1"/>
      <c r="D90" s="55" t="s">
        <v>89</v>
      </c>
      <c r="E90" s="63"/>
      <c r="F90" s="136" t="e">
        <f t="shared" si="55"/>
        <v>#DIV/0!</v>
      </c>
      <c r="G90" s="63">
        <v>132641.09</v>
      </c>
      <c r="H90" s="136">
        <f t="shared" si="56"/>
        <v>0.014234674883824213</v>
      </c>
      <c r="I90" s="63">
        <v>132641.09</v>
      </c>
      <c r="J90" s="136">
        <f t="shared" si="57"/>
        <v>0.014096970537463161</v>
      </c>
      <c r="K90" s="63">
        <v>132641.09</v>
      </c>
      <c r="L90" s="136">
        <f t="shared" si="58"/>
        <v>0.014132544985878917</v>
      </c>
      <c r="M90" s="63">
        <v>132641.09</v>
      </c>
      <c r="N90" s="136">
        <f aca="true" t="shared" si="63" ref="N90:P94">+M90/M$6</f>
        <v>0.014150690197709795</v>
      </c>
      <c r="O90" s="63">
        <v>132641.09</v>
      </c>
      <c r="P90" s="136">
        <f t="shared" si="63"/>
        <v>0.014219306970931263</v>
      </c>
      <c r="Q90" s="63">
        <v>132641.09</v>
      </c>
      <c r="R90" s="136">
        <f t="shared" si="59"/>
        <v>0.014177757810837932</v>
      </c>
      <c r="S90" s="63">
        <v>234495.55</v>
      </c>
      <c r="T90" s="136">
        <f t="shared" si="60"/>
        <v>0.025429646200779536</v>
      </c>
      <c r="U90" s="63">
        <v>234495.55</v>
      </c>
      <c r="V90" s="136">
        <f t="shared" si="61"/>
        <v>0.02558971297675326</v>
      </c>
      <c r="W90" s="63">
        <v>234495.55</v>
      </c>
      <c r="X90" s="136">
        <f t="shared" si="62"/>
        <v>0.02545517896154861</v>
      </c>
      <c r="Y90" s="63">
        <v>234495.55</v>
      </c>
      <c r="Z90" s="136">
        <f>+Y90/Y$6</f>
        <v>0.025057632446165715</v>
      </c>
      <c r="AA90" s="63">
        <v>234495.55</v>
      </c>
      <c r="AB90" s="236">
        <f>+AA90/AA$6</f>
        <v>0.02499317255103996</v>
      </c>
    </row>
    <row r="91" spans="1:28" s="52" customFormat="1" ht="12.75" customHeight="1">
      <c r="A91" s="76"/>
      <c r="B91" s="1"/>
      <c r="C91" s="1"/>
      <c r="D91" s="55" t="s">
        <v>246</v>
      </c>
      <c r="E91" s="63"/>
      <c r="F91" s="136" t="e">
        <f t="shared" si="55"/>
        <v>#DIV/0!</v>
      </c>
      <c r="G91" s="63">
        <v>499106.97</v>
      </c>
      <c r="H91" s="136">
        <f t="shared" si="56"/>
        <v>0.053562779453943</v>
      </c>
      <c r="I91" s="63">
        <v>499106.97</v>
      </c>
      <c r="J91" s="136">
        <f t="shared" si="57"/>
        <v>0.05304462026912256</v>
      </c>
      <c r="K91" s="63">
        <v>499106.97</v>
      </c>
      <c r="L91" s="136">
        <f t="shared" si="58"/>
        <v>0.053178481165155674</v>
      </c>
      <c r="M91" s="63">
        <v>499106.97</v>
      </c>
      <c r="N91" s="136">
        <f t="shared" si="63"/>
        <v>0.05324675866270126</v>
      </c>
      <c r="O91" s="63">
        <v>499106.97</v>
      </c>
      <c r="P91" s="136">
        <f t="shared" si="63"/>
        <v>0.05350495248313611</v>
      </c>
      <c r="Q91" s="63">
        <v>499106.97</v>
      </c>
      <c r="R91" s="136">
        <f t="shared" si="59"/>
        <v>0.05334860971333358</v>
      </c>
      <c r="S91" s="63">
        <v>529956.27</v>
      </c>
      <c r="T91" s="136">
        <f t="shared" si="60"/>
        <v>0.05747060209878096</v>
      </c>
      <c r="U91" s="63">
        <v>529956.27</v>
      </c>
      <c r="V91" s="136">
        <f t="shared" si="61"/>
        <v>0.057832350505289995</v>
      </c>
      <c r="W91" s="63">
        <v>529956.27</v>
      </c>
      <c r="X91" s="136">
        <f t="shared" si="62"/>
        <v>0.057528305738188956</v>
      </c>
      <c r="Y91" s="63">
        <v>529956.27</v>
      </c>
      <c r="Z91" s="136">
        <f>+Y91/Y$6</f>
        <v>0.056629856840357776</v>
      </c>
      <c r="AA91" s="63">
        <v>529956.27</v>
      </c>
      <c r="AB91" s="236">
        <f>+AA91/AA$6</f>
        <v>0.05648417848703536</v>
      </c>
    </row>
    <row r="92" spans="1:28" ht="11.25" customHeight="1">
      <c r="A92" s="76"/>
      <c r="B92" s="1"/>
      <c r="C92" s="1"/>
      <c r="D92" s="55"/>
      <c r="E92" s="63"/>
      <c r="F92" s="136" t="e">
        <f t="shared" si="55"/>
        <v>#DIV/0!</v>
      </c>
      <c r="G92" s="63"/>
      <c r="H92" s="136">
        <f t="shared" si="56"/>
        <v>0</v>
      </c>
      <c r="I92" s="63"/>
      <c r="J92" s="136">
        <f t="shared" si="57"/>
        <v>0</v>
      </c>
      <c r="K92" s="63"/>
      <c r="L92" s="136">
        <f t="shared" si="58"/>
        <v>0</v>
      </c>
      <c r="M92" s="63"/>
      <c r="N92" s="136">
        <f t="shared" si="63"/>
        <v>0</v>
      </c>
      <c r="O92" s="63"/>
      <c r="P92" s="136">
        <f t="shared" si="63"/>
        <v>0</v>
      </c>
      <c r="Q92" s="63"/>
      <c r="R92" s="136">
        <f t="shared" si="59"/>
        <v>0</v>
      </c>
      <c r="S92" s="63"/>
      <c r="T92" s="136">
        <f t="shared" si="60"/>
        <v>0</v>
      </c>
      <c r="U92" s="63"/>
      <c r="V92" s="136">
        <f t="shared" si="61"/>
        <v>0</v>
      </c>
      <c r="W92" s="63"/>
      <c r="X92" s="136">
        <f t="shared" si="62"/>
        <v>0</v>
      </c>
      <c r="Y92" s="63"/>
      <c r="Z92" s="136"/>
      <c r="AA92" s="63"/>
      <c r="AB92" s="236"/>
    </row>
    <row r="93" spans="1:28" ht="12.75">
      <c r="A93" s="86"/>
      <c r="B93" s="4" t="s">
        <v>22</v>
      </c>
      <c r="C93" s="4"/>
      <c r="D93" s="56"/>
      <c r="E93" s="64">
        <f>E94+E96+E101</f>
        <v>0</v>
      </c>
      <c r="F93" s="137" t="e">
        <f t="shared" si="55"/>
        <v>#DIV/0!</v>
      </c>
      <c r="G93" s="64">
        <f>G94+G96+G101</f>
        <v>7243939.68</v>
      </c>
      <c r="H93" s="137">
        <f t="shared" si="56"/>
        <v>0.7773995691895595</v>
      </c>
      <c r="I93" s="64">
        <f>I94+I96+I101</f>
        <v>7164363.659999999</v>
      </c>
      <c r="J93" s="137">
        <f t="shared" si="57"/>
        <v>0.7614218447291992</v>
      </c>
      <c r="K93" s="64">
        <f>K94+K96+K101</f>
        <v>7033502.669999999</v>
      </c>
      <c r="L93" s="137">
        <f t="shared" si="58"/>
        <v>0.7494004526958762</v>
      </c>
      <c r="M93" s="64">
        <f>M94+M96+M101</f>
        <v>6921160.22</v>
      </c>
      <c r="N93" s="137">
        <f t="shared" si="63"/>
        <v>0.7383774822864693</v>
      </c>
      <c r="O93" s="64">
        <f>O94+O96+O101</f>
        <v>6786634.93</v>
      </c>
      <c r="P93" s="137">
        <f t="shared" si="63"/>
        <v>0.7275365828893189</v>
      </c>
      <c r="Q93" s="64">
        <f>Q94+Q96+Q101</f>
        <v>6587399.609999999</v>
      </c>
      <c r="R93" s="137">
        <f t="shared" si="59"/>
        <v>0.704114812942115</v>
      </c>
      <c r="S93" s="64">
        <f>S94+S96+S101</f>
        <v>6337566.359999999</v>
      </c>
      <c r="T93" s="137">
        <f t="shared" si="60"/>
        <v>0.6872713375957974</v>
      </c>
      <c r="U93" s="64">
        <f>U94+U96+U101</f>
        <v>6232577.289999999</v>
      </c>
      <c r="V93" s="137">
        <f t="shared" si="61"/>
        <v>0.6801402583397879</v>
      </c>
      <c r="W93" s="64">
        <f>W94+W96+W101</f>
        <v>6146701.109999999</v>
      </c>
      <c r="X93" s="137">
        <f t="shared" si="62"/>
        <v>0.6672424136756517</v>
      </c>
      <c r="Y93" s="64">
        <f>Y94+Y96+Y101</f>
        <v>5952861.01</v>
      </c>
      <c r="Z93" s="137">
        <f>+Y93/Y$6</f>
        <v>0.6361084600184984</v>
      </c>
      <c r="AA93" s="64">
        <f>AA94+AA96+AA101</f>
        <v>6029006.7299999995</v>
      </c>
      <c r="AB93" s="235">
        <f>+AA93/AA$6</f>
        <v>0.6425879105777111</v>
      </c>
    </row>
    <row r="94" spans="1:28" ht="12.75">
      <c r="A94" s="86"/>
      <c r="B94" s="4"/>
      <c r="C94" s="4"/>
      <c r="D94" s="55" t="s">
        <v>90</v>
      </c>
      <c r="E94" s="63"/>
      <c r="F94" s="136" t="e">
        <f t="shared" si="55"/>
        <v>#DIV/0!</v>
      </c>
      <c r="G94" s="63">
        <v>0.17</v>
      </c>
      <c r="H94" s="136">
        <f t="shared" si="56"/>
        <v>1.8243929767541236E-08</v>
      </c>
      <c r="I94" s="63">
        <v>0.17</v>
      </c>
      <c r="J94" s="136">
        <f t="shared" si="57"/>
        <v>1.8067440424145624E-08</v>
      </c>
      <c r="K94" s="63">
        <v>0.17</v>
      </c>
      <c r="L94" s="136">
        <f t="shared" si="58"/>
        <v>1.8113034562663925E-08</v>
      </c>
      <c r="M94" s="63">
        <v>0.17</v>
      </c>
      <c r="N94" s="136">
        <f t="shared" si="63"/>
        <v>1.8136290448236406E-08</v>
      </c>
      <c r="O94" s="63">
        <v>0.17</v>
      </c>
      <c r="P94" s="136">
        <f t="shared" si="63"/>
        <v>1.8224233418605916E-08</v>
      </c>
      <c r="Q94" s="63">
        <v>0.17</v>
      </c>
      <c r="R94" s="136">
        <f t="shared" si="59"/>
        <v>1.8170981766226806E-08</v>
      </c>
      <c r="S94" s="63">
        <v>0.17</v>
      </c>
      <c r="T94" s="136">
        <f t="shared" si="60"/>
        <v>1.8435487812593976E-08</v>
      </c>
      <c r="U94" s="63">
        <v>0.17</v>
      </c>
      <c r="V94" s="136">
        <f t="shared" si="61"/>
        <v>1.8551529894908687E-08</v>
      </c>
      <c r="W94" s="63">
        <v>0.17</v>
      </c>
      <c r="X94" s="136">
        <f t="shared" si="62"/>
        <v>1.8453998054390643E-08</v>
      </c>
      <c r="Y94" s="63">
        <v>0.17</v>
      </c>
      <c r="Z94" s="136">
        <f>+Y94/Y$6</f>
        <v>1.816579255277199E-08</v>
      </c>
      <c r="AA94" s="63">
        <v>0.17</v>
      </c>
      <c r="AB94" s="236">
        <f>+AA94/AA$6</f>
        <v>1.8119061678043758E-08</v>
      </c>
    </row>
    <row r="95" spans="1:28" ht="9.75" customHeight="1">
      <c r="A95" s="86"/>
      <c r="B95" s="4"/>
      <c r="C95" s="4"/>
      <c r="D95" s="55"/>
      <c r="E95" s="63"/>
      <c r="F95" s="136"/>
      <c r="G95" s="63"/>
      <c r="H95" s="136"/>
      <c r="I95" s="63"/>
      <c r="J95" s="136"/>
      <c r="K95" s="63"/>
      <c r="L95" s="136"/>
      <c r="M95" s="63"/>
      <c r="N95" s="136"/>
      <c r="O95" s="63"/>
      <c r="P95" s="136"/>
      <c r="Q95" s="63"/>
      <c r="R95" s="136"/>
      <c r="S95" s="63"/>
      <c r="T95" s="136"/>
      <c r="U95" s="63"/>
      <c r="V95" s="136"/>
      <c r="W95" s="63"/>
      <c r="X95" s="136"/>
      <c r="Y95" s="63"/>
      <c r="Z95" s="136"/>
      <c r="AA95" s="63"/>
      <c r="AB95" s="236"/>
    </row>
    <row r="96" spans="1:28" ht="12.75">
      <c r="A96" s="76"/>
      <c r="B96" s="1"/>
      <c r="C96" s="1"/>
      <c r="D96" s="56" t="s">
        <v>24</v>
      </c>
      <c r="E96" s="64">
        <f>SUM(E97:E98)</f>
        <v>0</v>
      </c>
      <c r="F96" s="137" t="e">
        <f>+E96/E$6</f>
        <v>#DIV/0!</v>
      </c>
      <c r="G96" s="64">
        <f>SUM(G97:G98)</f>
        <v>6107842.52</v>
      </c>
      <c r="H96" s="137">
        <f>+G96/G$6</f>
        <v>0.655476764506365</v>
      </c>
      <c r="I96" s="64">
        <f>SUM(I97:I98)</f>
        <v>6107842.52</v>
      </c>
      <c r="J96" s="137">
        <f>+I96/I$6</f>
        <v>0.6491357697068438</v>
      </c>
      <c r="K96" s="64">
        <f>SUM(K97:K98)</f>
        <v>6107842.52</v>
      </c>
      <c r="L96" s="137">
        <f>+K96/K$6</f>
        <v>0.6507738980474606</v>
      </c>
      <c r="M96" s="64">
        <f>SUM(M97:M98)</f>
        <v>6107842.52</v>
      </c>
      <c r="N96" s="137">
        <f>+M96/M$6</f>
        <v>0.6516094467929893</v>
      </c>
      <c r="O96" s="64">
        <f>SUM(O97:O98)</f>
        <v>6107842.52</v>
      </c>
      <c r="P96" s="137">
        <f>+O96/O$6</f>
        <v>0.6547691045209774</v>
      </c>
      <c r="Q96" s="64">
        <f>SUM(Q97:Q98)</f>
        <v>6107842.52</v>
      </c>
      <c r="R96" s="137">
        <f>+Q96/Q$6</f>
        <v>0.6528558533053221</v>
      </c>
      <c r="S96" s="64">
        <f>SUM(S97:S98)</f>
        <v>6107842.52</v>
      </c>
      <c r="T96" s="137">
        <f>+S96/S$6</f>
        <v>0.6623591549335487</v>
      </c>
      <c r="U96" s="64">
        <f>SUM(U97:U98)</f>
        <v>6107842.52</v>
      </c>
      <c r="V96" s="137">
        <f>+U96/U$6</f>
        <v>0.6665283711951434</v>
      </c>
      <c r="W96" s="64">
        <f>SUM(W97:W98)</f>
        <v>6107842.52</v>
      </c>
      <c r="X96" s="137">
        <f>+W96/W$6</f>
        <v>0.6630241998859084</v>
      </c>
      <c r="Y96" s="64">
        <f>SUM(Y97:Y98)</f>
        <v>6107842.52</v>
      </c>
      <c r="Z96" s="137">
        <f>+Y96/Y$6</f>
        <v>0.6526694127254123</v>
      </c>
      <c r="AA96" s="64">
        <f>SUM(AA97:AA98)</f>
        <v>6107842.52</v>
      </c>
      <c r="AB96" s="235">
        <f>+AA96/AA$6</f>
        <v>0.6509904431744601</v>
      </c>
    </row>
    <row r="97" spans="1:28" ht="12.75" customHeight="1">
      <c r="A97" s="76"/>
      <c r="B97" s="1"/>
      <c r="C97" s="1"/>
      <c r="D97" s="55" t="s">
        <v>291</v>
      </c>
      <c r="E97" s="63"/>
      <c r="F97" s="136" t="e">
        <f>+E97/E$6</f>
        <v>#DIV/0!</v>
      </c>
      <c r="G97" s="63">
        <v>6107842.52</v>
      </c>
      <c r="H97" s="136">
        <f>+G97/G$6</f>
        <v>0.655476764506365</v>
      </c>
      <c r="I97" s="63">
        <v>6107842.52</v>
      </c>
      <c r="J97" s="136">
        <f>+I97/I$6</f>
        <v>0.6491357697068438</v>
      </c>
      <c r="K97" s="63">
        <v>6107842.52</v>
      </c>
      <c r="L97" s="136">
        <f>+K97/K$6</f>
        <v>0.6507738980474606</v>
      </c>
      <c r="M97" s="63">
        <v>6107842.52</v>
      </c>
      <c r="N97" s="136">
        <f>+M97/M$6</f>
        <v>0.6516094467929893</v>
      </c>
      <c r="O97" s="63">
        <v>6107842.52</v>
      </c>
      <c r="P97" s="136">
        <f>+O97/O$6</f>
        <v>0.6547691045209774</v>
      </c>
      <c r="Q97" s="63">
        <v>6107842.52</v>
      </c>
      <c r="R97" s="136">
        <f>+Q97/Q$6</f>
        <v>0.6528558533053221</v>
      </c>
      <c r="S97" s="63">
        <v>6107842.52</v>
      </c>
      <c r="T97" s="136">
        <f>+S97/S$6</f>
        <v>0.6623591549335487</v>
      </c>
      <c r="U97" s="63">
        <v>6107842.52</v>
      </c>
      <c r="V97" s="136">
        <f>+U97/U$6</f>
        <v>0.6665283711951434</v>
      </c>
      <c r="W97" s="63">
        <v>6107842.52</v>
      </c>
      <c r="X97" s="136">
        <f>+W97/W$6</f>
        <v>0.6630241998859084</v>
      </c>
      <c r="Y97" s="63">
        <v>6107842.52</v>
      </c>
      <c r="Z97" s="136">
        <f>+Y97/Y$6</f>
        <v>0.6526694127254123</v>
      </c>
      <c r="AA97" s="63">
        <v>6107842.52</v>
      </c>
      <c r="AB97" s="236">
        <f>+AA97/AA$6</f>
        <v>0.6509904431744601</v>
      </c>
    </row>
    <row r="98" spans="1:28" ht="12.75" hidden="1">
      <c r="A98" s="76"/>
      <c r="B98" s="1"/>
      <c r="C98" s="1"/>
      <c r="D98" s="55" t="s">
        <v>130</v>
      </c>
      <c r="E98" s="63">
        <v>0</v>
      </c>
      <c r="F98" s="136" t="e">
        <f>+E98/E$6</f>
        <v>#DIV/0!</v>
      </c>
      <c r="G98" s="63"/>
      <c r="H98" s="136">
        <f>+G98/G$6</f>
        <v>0</v>
      </c>
      <c r="I98" s="63"/>
      <c r="J98" s="136">
        <f>+I98/I$6</f>
        <v>0</v>
      </c>
      <c r="K98" s="63">
        <v>0</v>
      </c>
      <c r="L98" s="136">
        <f>+K98/K$6</f>
        <v>0</v>
      </c>
      <c r="M98" s="63"/>
      <c r="N98" s="136">
        <f>+M98/M$6</f>
        <v>0</v>
      </c>
      <c r="O98" s="63"/>
      <c r="P98" s="136">
        <f>+O98/O$6</f>
        <v>0</v>
      </c>
      <c r="Q98" s="63"/>
      <c r="R98" s="136">
        <f>+Q98/Q$6</f>
        <v>0</v>
      </c>
      <c r="S98" s="63"/>
      <c r="T98" s="136">
        <f>+S98/S$6</f>
        <v>0</v>
      </c>
      <c r="U98" s="63"/>
      <c r="V98" s="136">
        <f>+U98/U$6</f>
        <v>0</v>
      </c>
      <c r="W98" s="63"/>
      <c r="X98" s="136">
        <f>+W98/W$6</f>
        <v>0</v>
      </c>
      <c r="Y98" s="63"/>
      <c r="Z98" s="136">
        <f>+Y98/Y$6</f>
        <v>0</v>
      </c>
      <c r="AA98" s="63">
        <v>0</v>
      </c>
      <c r="AB98" s="236">
        <f>+AA98/AA$6</f>
        <v>0</v>
      </c>
    </row>
    <row r="99" spans="1:28" ht="6.75" customHeight="1">
      <c r="A99" s="76"/>
      <c r="B99" s="1"/>
      <c r="C99" s="1"/>
      <c r="D99" s="55"/>
      <c r="E99" s="63"/>
      <c r="F99" s="136"/>
      <c r="G99" s="63"/>
      <c r="H99" s="136"/>
      <c r="I99" s="63"/>
      <c r="J99" s="136"/>
      <c r="K99" s="63"/>
      <c r="L99" s="136"/>
      <c r="M99" s="63"/>
      <c r="N99" s="136"/>
      <c r="O99" s="63"/>
      <c r="P99" s="136"/>
      <c r="Q99" s="63"/>
      <c r="R99" s="136"/>
      <c r="S99" s="63"/>
      <c r="T99" s="136"/>
      <c r="U99" s="63"/>
      <c r="V99" s="136"/>
      <c r="W99" s="63"/>
      <c r="X99" s="136"/>
      <c r="Y99" s="63"/>
      <c r="Z99" s="136"/>
      <c r="AA99" s="63"/>
      <c r="AB99" s="236"/>
    </row>
    <row r="100" spans="1:28" ht="11.25" customHeight="1">
      <c r="A100" s="76"/>
      <c r="B100" s="1"/>
      <c r="C100" s="1"/>
      <c r="D100" s="55"/>
      <c r="E100" s="63"/>
      <c r="F100" s="136"/>
      <c r="G100" s="63"/>
      <c r="H100" s="136"/>
      <c r="I100" s="63"/>
      <c r="J100" s="136"/>
      <c r="K100" s="63"/>
      <c r="L100" s="136"/>
      <c r="M100" s="63"/>
      <c r="N100" s="136"/>
      <c r="O100" s="63"/>
      <c r="P100" s="136"/>
      <c r="Q100" s="63"/>
      <c r="R100" s="136"/>
      <c r="S100" s="63"/>
      <c r="T100" s="136"/>
      <c r="U100" s="63"/>
      <c r="V100" s="136"/>
      <c r="W100" s="63"/>
      <c r="X100" s="136"/>
      <c r="Y100" s="63"/>
      <c r="Z100" s="136"/>
      <c r="AA100" s="63"/>
      <c r="AB100" s="236"/>
    </row>
    <row r="101" spans="1:28" ht="12.75">
      <c r="A101" s="76"/>
      <c r="B101" s="1"/>
      <c r="C101" s="1"/>
      <c r="D101" s="56" t="s">
        <v>269</v>
      </c>
      <c r="E101" s="64"/>
      <c r="F101" s="137" t="e">
        <f>+E101/E$6</f>
        <v>#DIV/0!</v>
      </c>
      <c r="G101" s="64">
        <v>1136096.99</v>
      </c>
      <c r="H101" s="137">
        <f>+G101/G$6</f>
        <v>0.12192278643926469</v>
      </c>
      <c r="I101" s="64">
        <v>1056520.97</v>
      </c>
      <c r="J101" s="137">
        <f>+I101/I$6</f>
        <v>0.11228605695491496</v>
      </c>
      <c r="K101" s="64">
        <f>5402570.71-4476910.73</f>
        <v>925659.9799999995</v>
      </c>
      <c r="L101" s="137">
        <f>+K101/K$6</f>
        <v>0.0986265365353811</v>
      </c>
      <c r="M101" s="64">
        <f>4834586.86-4021269.33</f>
        <v>813317.5300000003</v>
      </c>
      <c r="N101" s="137">
        <f>+M101/M$6</f>
        <v>0.08676801735718959</v>
      </c>
      <c r="O101" s="64">
        <f>4232450.3-3553658.06</f>
        <v>678792.2399999998</v>
      </c>
      <c r="P101" s="137">
        <f>+O101/O$6</f>
        <v>0.07276746014410801</v>
      </c>
      <c r="Q101" s="64">
        <f>3687379.92-3207823</f>
        <v>479556.9199999999</v>
      </c>
      <c r="R101" s="137">
        <f>+Q101/Q$6</f>
        <v>0.051258941465811086</v>
      </c>
      <c r="S101" s="64">
        <f>3147570.33-2917846.66</f>
        <v>229723.66999999993</v>
      </c>
      <c r="T101" s="137">
        <f>+S101/S$6</f>
        <v>0.024912164226760937</v>
      </c>
      <c r="U101" s="64">
        <f>2598333.02-2473598.42</f>
        <v>124734.6000000001</v>
      </c>
      <c r="V101" s="137">
        <f>+U101/U$6</f>
        <v>0.01361186859311458</v>
      </c>
      <c r="W101" s="64">
        <f>2040083.36-2001224.94</f>
        <v>38858.42000000016</v>
      </c>
      <c r="X101" s="137">
        <f>+W101/W$6</f>
        <v>0.004218195335745279</v>
      </c>
      <c r="Y101" s="64">
        <f>1365769.96-1520751.64</f>
        <v>-154981.67999999993</v>
      </c>
      <c r="Z101" s="137">
        <f>+Y101/Y$6</f>
        <v>-0.016560970872706415</v>
      </c>
      <c r="AA101" s="64">
        <f>649796.78-728632.74</f>
        <v>-78835.95999999996</v>
      </c>
      <c r="AB101" s="235">
        <f>+AA101/AA$6</f>
        <v>-0.008402550715810529</v>
      </c>
    </row>
    <row r="102" spans="1:28" ht="7.5" customHeight="1" thickBot="1">
      <c r="A102" s="93"/>
      <c r="B102" s="94"/>
      <c r="C102" s="94"/>
      <c r="D102" s="237"/>
      <c r="E102" s="238"/>
      <c r="F102" s="244"/>
      <c r="G102" s="238"/>
      <c r="H102" s="244"/>
      <c r="I102" s="244"/>
      <c r="J102" s="244"/>
      <c r="K102" s="238"/>
      <c r="L102" s="244"/>
      <c r="M102" s="238"/>
      <c r="N102" s="244"/>
      <c r="O102" s="238"/>
      <c r="P102" s="244"/>
      <c r="Q102" s="238"/>
      <c r="R102" s="244"/>
      <c r="S102" s="238"/>
      <c r="T102" s="244"/>
      <c r="U102" s="238"/>
      <c r="V102" s="244"/>
      <c r="W102" s="238"/>
      <c r="X102" s="244"/>
      <c r="Y102" s="238"/>
      <c r="Z102" s="244"/>
      <c r="AA102" s="238"/>
      <c r="AB102" s="245"/>
    </row>
    <row r="105" spans="5:28" ht="12.75">
      <c r="E105" s="174">
        <f>+E70-E6</f>
        <v>0</v>
      </c>
      <c r="G105" s="174">
        <f>+G70-G6</f>
        <v>0</v>
      </c>
      <c r="I105" s="174">
        <f>+I70-I6</f>
        <v>0</v>
      </c>
      <c r="K105" s="174">
        <f>+K70-K6</f>
        <v>0</v>
      </c>
      <c r="M105" s="174">
        <f>+M70-M6</f>
        <v>0</v>
      </c>
      <c r="O105" s="174">
        <f>+O70-O6</f>
        <v>0</v>
      </c>
      <c r="Q105" s="174">
        <f>+Q70-Q6</f>
        <v>0</v>
      </c>
      <c r="S105" s="174">
        <f>+S70-S6</f>
        <v>0</v>
      </c>
      <c r="U105" s="174">
        <f>+U70-U6</f>
        <v>0</v>
      </c>
      <c r="W105" s="174">
        <f>+W70-W6</f>
        <v>0</v>
      </c>
      <c r="Y105" s="174">
        <f>+Y70-Y6</f>
        <v>0</v>
      </c>
      <c r="AA105" s="174">
        <f>+AA70-AA6</f>
        <v>0</v>
      </c>
      <c r="AB105" s="163">
        <f>+AB70-AB6</f>
        <v>0</v>
      </c>
    </row>
    <row r="106" spans="7:27" ht="12.75">
      <c r="G106" s="187"/>
      <c r="O106" s="186"/>
      <c r="AA106" s="174"/>
    </row>
    <row r="107" spans="9:18" ht="12.75">
      <c r="I107" s="187"/>
      <c r="K107" s="187"/>
      <c r="M107" s="187"/>
      <c r="Q107" s="187"/>
      <c r="R107" s="187"/>
    </row>
    <row r="108" spans="15:17" ht="12.75">
      <c r="O108" s="187"/>
      <c r="Q108" s="186"/>
    </row>
    <row r="109" ht="12.75">
      <c r="K109" s="186"/>
    </row>
  </sheetData>
  <sheetProtection/>
  <mergeCells count="1">
    <mergeCell ref="B89:D89"/>
  </mergeCells>
  <printOptions/>
  <pageMargins left="0.2362204724409449" right="0.2362204724409449" top="0.7480314960629921" bottom="0.7480314960629921" header="0.31496062992125984" footer="0.31496062992125984"/>
  <pageSetup horizontalDpi="600" verticalDpi="600" orientation="portrait" paperSize="9" r:id="rId1"/>
  <ignoredErrors>
    <ignoredError sqref="AB109:AB111 AC109:AC111 S21 U21 W21 Z20 Y21:Z21 U60 W60 W61:W63 Y6:AA6 Y72:AA72 Y73:AA73 Y9:AA10 Y102:AA102 Y99:AA100 Y96:AA96 Y88:AA88 Y60:AA63 Y59:AA59 Y55:AA57 Y42:AA42 Y33:AA36 Y26:AA26 Y14:AA15 Y71:AA71 Y7:AA7 Y83:AB83 Y84:AA84 Y30:AA31 Y92:AA93 S60 Y52:AA54 W52:W54 U52:U54 Y50:AA50 W50 U50 U25 W25 Y25:AB25 Y98:AA98 W98 U98 Y51:AA51 W51 U51 S51 S52:S54 W6 W28 U72 U74 W72 W73 W74 Y74:AA74 S74 U27 W27 Y27:AA27 Y8:AA8 W9:W10 Y43:AA43 Y28:AA28 Z101 W102 S103:AA103 Y97:AA97 Y94:AA94 Y95:AA95 W97 W94 U97 W99:W100 U94 S94 W96 S97 Y90:AA91 W90:W91 U90:U91 Y85:AB87 W85:W87 U85:U87 Y75:AA81 W75:W81 U75:U81 S75:S81 U58 W58 Y58:AA58 W59 S64:AB69 Y44:AA49 W44:W49 U44:U49 S44:S49 S50 W55:W57 S58 Y37:AA41 W37:W41 U37:U41 W42 W43 Y32:AA32 W32 U32 W33:W36 S37:S41 U28 S28 U16:U18 U23:U24 U22 W16:W19 W23:W24 W22 Y16:AA19 Y23:AA24 Y22:AB22 W26 Y13:AA13 Y12:Z12 Y11:AA11 W13 W12 W11 U11 S11 U12 S12 U13 S13 W14:W15 S16:S18 W71 S27 S29:AB29 W7 W8 U70 W70 Y70:AA70 S70 W83 W88 S89:AB89 W30:W31 S32 W92:W93 W95 S90:S91 S98 S72 S82:AB82 S23:S24 S25 S6 W84 S85:S87 S22 AB84 AB6:AB21 AB23:AB24 AB70:AB81 AB90:AB97 S92:V93 S30:V31 AB88 S83:V84 X70 V70 T70 S7:V7 AB26:AB28 S71:V71 S14:V15 T13 T12 T11 V11 V12 V13 X11 X12 X13 S26:V26 X16:X24 V16:V24 T16:T24 T28 S33:V36 T32 V32 X32 S42:V42 T37:T41 V37:V41 X37:X41 S55:V57 T44:T49 V44:V49 X44:X49 S59:V59 X58 V58 T58 T75:T81 V75:V81 X75:X81 S88:V88 T85:T87 V85:V87 X85:X87 T90:T91 V90:V91 X90:X91 S96:V96 T94 S99:V100 T97 V94 V97 S95:V95 X95 X94 X97 S102:V102 T101 V101 X101 X28 S43:V43 X43 S9:V10 S8:V8 X8 X27 V27 T27 X74 V74 S73:V73 V72 T74 T72 V28 T6:V6 AB30:AB49 T51 V51 X51 AB51 AB98:AB103 T98 V98 X98 X25 V25 T25 T50 V50 X50 AB50 T52:T54 V52:V54 X52:X54 AB52:AB63 X92:X93 X30:X31 X83:X84 X7 X71 X14:X15 X26 X33:X36 X42 X55:X57 X59:X63 X88 X96 X99:X100 X102 X9:X10 X73 X72 X6 S61:V63 V60 T60 R60 R61:R63 R52:R54 AC52:AC58 R50 R25 AC25:AC28 R98 AB104 AC98:AC108 R51 AC51 AC62:AC63 R6 R72 R73 R74 R27 R8 R9:R10 R43 R101 R102 R95 R97 R99:R100 R94 R96 R90:R91 R85:R87 R88 R75:R81 R58 R59 R44:R49 R55:R57 R37:R41 R42 R32 R33:R36 R28 R16:R24 R26 R11 R12 R13 R14:R15 R71 AC23:AC24 R7 R70 R83:R84 AC88 R30:R31 R92:R93 AC30:AC36 AB107:AB108 AC6:AC21 AC50 AC89:AC97 AC70:AC81 I22:Q22 I82:R82 I72:Q72 AD70:AG81 I98:Q98 I89:R89 AD89:AG97 I52:Q54 I50:Q50 AD50:AG50 I6:Q6 AD6:AG21 I107:AA108 AD107:AG108 I37:Q41 I32:Q32 AD30:AG36 I95:Q95 I92:Q93 I30:Q31 I88:Q88 AD88:AG88 I85:Q87 I83:Q84 I70:Q70 I8:Q8 I7:Q7 I25:Q25 I23:Q24 AD23:AG24 I71:Q71 I16:Q21 I14:Q15 I13:Q13 I12:Q12 I11:Q11 I27:Q27 I26:Q26 S19:S20 I29:R29 I28:Q28 I33:Q36 I43:Q43 I42:Q42 I58:Q58 I55:Q57 I44:Q49 I60:Q60 I59:Q59 I75:Q81 I90:Q91 I97:Q97 I96:Q96 I94:Q94 I101:Q101 I99:Q100 I103:R103 I102:Q102 S101 I9:Q10 I74:Q74 I73:Q73 I64:R69 I62:Q63 AD62:AG63 I51:Q51 AD51:AG51 AD98:AG98 AD99:AG100 AD103:AG106 AD102:AG102 AD101:AG101 I105:AB106 I104:AA104 AD25:AG25 AD26:AG26 AD28:AG28 AD27:AG27 AD52:AG54 AD55:AG57 AD58:AG58 I61:Q61 AC83:AG83 AC59:AG59 AC61:AG61 AC60:AG60 AC37:AG41 AC44:AG49 AC43:AG43 AC42:AG42 Y101 W101 U101 AC85:AG87 U19:U20 W20 AC22:AG22 Y20 AA12 AC84:AG84 AC82:AG82 AC29:AG29 AC64:AG69 AA101 AA21 AA20" formula="1"/>
  </ignoredErrors>
</worksheet>
</file>

<file path=xl/worksheets/sheet6.xml><?xml version="1.0" encoding="utf-8"?>
<worksheet xmlns="http://schemas.openxmlformats.org/spreadsheetml/2006/main" xmlns:r="http://schemas.openxmlformats.org/officeDocument/2006/relationships">
  <dimension ref="B1:AR186"/>
  <sheetViews>
    <sheetView zoomScalePageLayoutView="0" workbookViewId="0" topLeftCell="A47">
      <pane xSplit="6" topLeftCell="G1" activePane="topRight" state="frozen"/>
      <selection pane="topLeft" activeCell="A7" sqref="A7"/>
      <selection pane="topRight" activeCell="M37" sqref="M37"/>
    </sheetView>
  </sheetViews>
  <sheetFormatPr defaultColWidth="9.140625" defaultRowHeight="12.75"/>
  <cols>
    <col min="1" max="2" width="3.8515625" style="52" customWidth="1"/>
    <col min="3" max="3" width="5.28125" style="52" customWidth="1"/>
    <col min="4" max="5" width="9.140625" style="52" customWidth="1"/>
    <col min="6" max="6" width="18.57421875" style="52" customWidth="1"/>
    <col min="7" max="7" width="13.57421875" style="248" bestFit="1" customWidth="1"/>
    <col min="8" max="8" width="7.421875" style="163" customWidth="1"/>
    <col min="9" max="9" width="14.8515625" style="163" hidden="1" customWidth="1"/>
    <col min="10" max="10" width="8.57421875" style="163" hidden="1" customWidth="1"/>
    <col min="11" max="11" width="14.00390625" style="163" hidden="1" customWidth="1"/>
    <col min="12" max="12" width="7.8515625" style="163" hidden="1" customWidth="1"/>
    <col min="13" max="13" width="15.421875" style="163" customWidth="1"/>
    <col min="14" max="14" width="8.57421875" style="163" customWidth="1"/>
    <col min="15" max="15" width="16.00390625" style="163" customWidth="1"/>
    <col min="16" max="16" width="10.00390625" style="163" customWidth="1"/>
    <col min="17" max="17" width="14.8515625" style="163" customWidth="1"/>
    <col min="18" max="18" width="8.57421875" style="163" customWidth="1"/>
    <col min="19" max="19" width="14.00390625" style="163" customWidth="1"/>
    <col min="20" max="20" width="8.57421875" style="163" customWidth="1"/>
    <col min="21" max="21" width="14.00390625" style="163" customWidth="1"/>
    <col min="22" max="22" width="7.8515625" style="163" customWidth="1"/>
    <col min="23" max="23" width="14.140625" style="163" customWidth="1"/>
    <col min="24" max="24" width="7.8515625" style="163" customWidth="1"/>
    <col min="25" max="25" width="14.8515625" style="163" customWidth="1"/>
    <col min="26" max="26" width="8.57421875" style="163" customWidth="1"/>
    <col min="27" max="27" width="11.8515625" style="163" customWidth="1"/>
    <col min="28" max="28" width="8.57421875" style="163" customWidth="1"/>
    <col min="29" max="29" width="11.8515625" style="163" customWidth="1"/>
    <col min="30" max="30" width="7.421875" style="163" customWidth="1"/>
    <col min="31" max="31" width="11.8515625" style="163" customWidth="1"/>
    <col min="32" max="32" width="7.28125" style="163" customWidth="1"/>
    <col min="33" max="33" width="14.8515625" style="163" customWidth="1"/>
    <col min="34" max="34" width="8.57421875" style="163" customWidth="1"/>
    <col min="35" max="35" width="11.8515625" style="163" customWidth="1"/>
    <col min="36" max="36" width="7.8515625" style="163" customWidth="1"/>
    <col min="37" max="37" width="11.8515625" style="163" customWidth="1"/>
    <col min="38" max="38" width="8.57421875" style="163" customWidth="1"/>
    <col min="39" max="39" width="12.8515625" style="52" customWidth="1"/>
    <col min="40" max="40" width="7.8515625" style="52" customWidth="1"/>
    <col min="41" max="41" width="9.140625" style="52" customWidth="1"/>
    <col min="42" max="42" width="12.8515625" style="52" bestFit="1" customWidth="1"/>
    <col min="43" max="43" width="11.28125" style="52" bestFit="1" customWidth="1"/>
    <col min="44" max="44" width="9.57421875" style="52" bestFit="1" customWidth="1"/>
    <col min="45" max="16384" width="9.140625" style="52" customWidth="1"/>
  </cols>
  <sheetData>
    <row r="1" spans="2:40" ht="14.25" customHeight="1">
      <c r="B1" s="139" t="s">
        <v>55</v>
      </c>
      <c r="C1" s="140"/>
      <c r="D1" s="112"/>
      <c r="E1" s="112"/>
      <c r="F1" s="112"/>
      <c r="G1" s="164"/>
      <c r="H1" s="164"/>
      <c r="I1" s="191"/>
      <c r="J1" s="164"/>
      <c r="K1" s="164"/>
      <c r="L1" s="164"/>
      <c r="M1" s="164"/>
      <c r="N1" s="164"/>
      <c r="O1" s="164"/>
      <c r="P1" s="164"/>
      <c r="Q1" s="191"/>
      <c r="R1" s="164"/>
      <c r="S1" s="164"/>
      <c r="T1" s="164"/>
      <c r="U1" s="164"/>
      <c r="V1" s="164"/>
      <c r="W1" s="164"/>
      <c r="X1" s="164"/>
      <c r="Y1" s="191"/>
      <c r="Z1" s="164"/>
      <c r="AA1" s="164"/>
      <c r="AB1" s="164"/>
      <c r="AC1" s="164"/>
      <c r="AD1" s="164"/>
      <c r="AE1" s="164"/>
      <c r="AF1" s="164"/>
      <c r="AG1" s="191"/>
      <c r="AH1" s="164"/>
      <c r="AI1" s="164"/>
      <c r="AJ1" s="164"/>
      <c r="AK1" s="164"/>
      <c r="AL1" s="164"/>
      <c r="AM1" s="113"/>
      <c r="AN1" s="175"/>
    </row>
    <row r="2" spans="2:40" ht="14.25" customHeight="1">
      <c r="B2" s="141" t="str">
        <f>BALANCO!A2</f>
        <v>Demonstrações Contábeis Exercício 2020</v>
      </c>
      <c r="C2" s="142"/>
      <c r="D2" s="117"/>
      <c r="E2" s="117"/>
      <c r="F2" s="117"/>
      <c r="G2" s="165"/>
      <c r="H2" s="165"/>
      <c r="I2" s="192"/>
      <c r="J2" s="165"/>
      <c r="K2" s="165"/>
      <c r="L2" s="165"/>
      <c r="M2" s="165"/>
      <c r="N2" s="165"/>
      <c r="O2" s="165"/>
      <c r="P2" s="165"/>
      <c r="Q2" s="192"/>
      <c r="R2" s="165"/>
      <c r="S2" s="165"/>
      <c r="T2" s="165"/>
      <c r="U2" s="165"/>
      <c r="V2" s="165"/>
      <c r="W2" s="165"/>
      <c r="X2" s="165"/>
      <c r="Y2" s="192"/>
      <c r="Z2" s="165"/>
      <c r="AA2" s="165"/>
      <c r="AB2" s="165"/>
      <c r="AC2" s="165"/>
      <c r="AD2" s="165"/>
      <c r="AE2" s="165"/>
      <c r="AF2" s="165"/>
      <c r="AG2" s="192"/>
      <c r="AH2" s="165"/>
      <c r="AI2" s="165"/>
      <c r="AJ2" s="165"/>
      <c r="AK2" s="165"/>
      <c r="AL2" s="165"/>
      <c r="AM2" s="118"/>
      <c r="AN2" s="176"/>
    </row>
    <row r="3" spans="2:40" ht="12.75">
      <c r="B3" s="143" t="s">
        <v>37</v>
      </c>
      <c r="C3" s="115"/>
      <c r="D3" s="144"/>
      <c r="E3" s="144"/>
      <c r="F3" s="144"/>
      <c r="G3" s="166"/>
      <c r="H3" s="166"/>
      <c r="I3" s="269"/>
      <c r="J3" s="269"/>
      <c r="K3" s="166"/>
      <c r="L3" s="166"/>
      <c r="M3" s="166"/>
      <c r="N3" s="166"/>
      <c r="O3" s="166"/>
      <c r="P3" s="166"/>
      <c r="Q3" s="269"/>
      <c r="R3" s="269"/>
      <c r="S3" s="166"/>
      <c r="T3" s="166"/>
      <c r="U3" s="166"/>
      <c r="V3" s="166"/>
      <c r="W3" s="166"/>
      <c r="X3" s="166"/>
      <c r="Y3" s="269"/>
      <c r="Z3" s="269"/>
      <c r="AA3" s="166"/>
      <c r="AB3" s="166"/>
      <c r="AC3" s="166"/>
      <c r="AD3" s="166"/>
      <c r="AE3" s="166"/>
      <c r="AF3" s="166"/>
      <c r="AG3" s="269"/>
      <c r="AH3" s="269"/>
      <c r="AI3" s="166"/>
      <c r="AJ3" s="166"/>
      <c r="AK3" s="166"/>
      <c r="AL3" s="166"/>
      <c r="AM3" s="114"/>
      <c r="AN3" s="250"/>
    </row>
    <row r="4" spans="2:40" ht="18" customHeight="1">
      <c r="B4" s="145" t="s">
        <v>0</v>
      </c>
      <c r="C4" s="142"/>
      <c r="D4" s="142"/>
      <c r="E4" s="142"/>
      <c r="F4" s="142"/>
      <c r="G4" s="181" t="s">
        <v>277</v>
      </c>
      <c r="H4" s="247" t="s">
        <v>28</v>
      </c>
      <c r="I4" s="219" t="s">
        <v>276</v>
      </c>
      <c r="J4" s="184" t="s">
        <v>28</v>
      </c>
      <c r="K4" s="181">
        <v>44195</v>
      </c>
      <c r="L4" s="184" t="s">
        <v>28</v>
      </c>
      <c r="M4" s="181">
        <v>44165</v>
      </c>
      <c r="N4" s="184" t="s">
        <v>28</v>
      </c>
      <c r="O4" s="181">
        <v>44134</v>
      </c>
      <c r="P4" s="184" t="s">
        <v>28</v>
      </c>
      <c r="Q4" s="219" t="s">
        <v>275</v>
      </c>
      <c r="R4" s="184" t="s">
        <v>28</v>
      </c>
      <c r="S4" s="181">
        <v>44104</v>
      </c>
      <c r="T4" s="184" t="s">
        <v>28</v>
      </c>
      <c r="U4" s="181">
        <v>44074</v>
      </c>
      <c r="V4" s="184" t="s">
        <v>28</v>
      </c>
      <c r="W4" s="181">
        <v>44013</v>
      </c>
      <c r="X4" s="184" t="s">
        <v>28</v>
      </c>
      <c r="Y4" s="219" t="s">
        <v>274</v>
      </c>
      <c r="Z4" s="184" t="s">
        <v>28</v>
      </c>
      <c r="AA4" s="181">
        <v>43983</v>
      </c>
      <c r="AB4" s="184" t="s">
        <v>28</v>
      </c>
      <c r="AC4" s="181">
        <v>43952</v>
      </c>
      <c r="AD4" s="184" t="s">
        <v>28</v>
      </c>
      <c r="AE4" s="181">
        <v>43922</v>
      </c>
      <c r="AF4" s="184" t="s">
        <v>28</v>
      </c>
      <c r="AG4" s="219" t="s">
        <v>273</v>
      </c>
      <c r="AH4" s="184" t="s">
        <v>28</v>
      </c>
      <c r="AI4" s="181">
        <v>43891</v>
      </c>
      <c r="AJ4" s="184" t="s">
        <v>28</v>
      </c>
      <c r="AK4" s="181">
        <v>43862</v>
      </c>
      <c r="AL4" s="167" t="s">
        <v>28</v>
      </c>
      <c r="AM4" s="181">
        <v>43831</v>
      </c>
      <c r="AN4" s="167" t="s">
        <v>28</v>
      </c>
    </row>
    <row r="5" spans="2:40" ht="12.75">
      <c r="B5" s="146"/>
      <c r="C5" s="147" t="s">
        <v>251</v>
      </c>
      <c r="D5" s="147"/>
      <c r="E5" s="147"/>
      <c r="F5" s="147"/>
      <c r="G5" s="193">
        <f>+G7+G18</f>
        <v>6385803.2299999995</v>
      </c>
      <c r="H5" s="252">
        <f>+G5/G$5</f>
        <v>1</v>
      </c>
      <c r="I5" s="193">
        <f>+I7+I18</f>
        <v>1258896.43</v>
      </c>
      <c r="J5" s="194">
        <f>+I5/I$5</f>
        <v>1</v>
      </c>
      <c r="K5" s="138">
        <f>+K7+K18</f>
        <v>0</v>
      </c>
      <c r="L5" s="66" t="e">
        <f>+K5/K$5</f>
        <v>#DIV/0!</v>
      </c>
      <c r="M5" s="138">
        <f>+M7+M18</f>
        <v>639166.85</v>
      </c>
      <c r="N5" s="66">
        <f>+M5/M$5</f>
        <v>1</v>
      </c>
      <c r="O5" s="138">
        <f>+O7+O18</f>
        <v>619729.5800000001</v>
      </c>
      <c r="P5" s="66">
        <f>+O5/O$5</f>
        <v>1</v>
      </c>
      <c r="Q5" s="193">
        <f>+Q7+Q18</f>
        <v>1632112.5499999998</v>
      </c>
      <c r="R5" s="194">
        <f>+Q5/Q$5</f>
        <v>1</v>
      </c>
      <c r="S5" s="138">
        <f>+S7+S18</f>
        <v>538154.6</v>
      </c>
      <c r="T5" s="66">
        <f>+S5/S$5</f>
        <v>1</v>
      </c>
      <c r="U5" s="138">
        <f>+U7+U18</f>
        <v>570024.1</v>
      </c>
      <c r="V5" s="66">
        <f>+U5/U$5</f>
        <v>1</v>
      </c>
      <c r="W5" s="138">
        <f>+W7+W18</f>
        <v>523933.85</v>
      </c>
      <c r="X5" s="66">
        <f>+W5/W$5</f>
        <v>1</v>
      </c>
      <c r="Y5" s="193">
        <f>+Y7+Y18</f>
        <v>1596674.5499999998</v>
      </c>
      <c r="Z5" s="194">
        <f>+Y5/Y$5</f>
        <v>1</v>
      </c>
      <c r="AA5" s="138">
        <f>+AA7+AA18</f>
        <v>523712.85</v>
      </c>
      <c r="AB5" s="66">
        <f>+AA5/AA$5</f>
        <v>1</v>
      </c>
      <c r="AC5" s="138">
        <f>+AC7+AC18</f>
        <v>531979.85</v>
      </c>
      <c r="AD5" s="66">
        <f>+AC5/AC$5</f>
        <v>1</v>
      </c>
      <c r="AE5" s="138">
        <f>+AE7+AE18</f>
        <v>540981.85</v>
      </c>
      <c r="AF5" s="66">
        <f>+AE5/AE$5</f>
        <v>1</v>
      </c>
      <c r="AG5" s="193">
        <f>+AG7+AG18</f>
        <v>1898119.7000000002</v>
      </c>
      <c r="AH5" s="194">
        <f>+AG5/AG$5</f>
        <v>1</v>
      </c>
      <c r="AI5" s="138">
        <f>+AI7+AI18</f>
        <v>605584.43</v>
      </c>
      <c r="AJ5" s="66">
        <f>+AI5/AI$5</f>
        <v>1</v>
      </c>
      <c r="AK5" s="138">
        <f>+AK7+AK18</f>
        <v>678613.6599999999</v>
      </c>
      <c r="AL5" s="66">
        <f>+AK5/AK$5</f>
        <v>1</v>
      </c>
      <c r="AM5" s="138">
        <f>+AM7+AM18</f>
        <v>613921.61</v>
      </c>
      <c r="AN5" s="66">
        <f>+AM5/AM$5</f>
        <v>1</v>
      </c>
    </row>
    <row r="6" spans="2:40" ht="12.75">
      <c r="B6" s="148"/>
      <c r="C6" s="149"/>
      <c r="D6" s="149"/>
      <c r="E6" s="149"/>
      <c r="F6" s="149"/>
      <c r="G6" s="253"/>
      <c r="H6" s="196"/>
      <c r="I6" s="195"/>
      <c r="J6" s="196"/>
      <c r="K6" s="150"/>
      <c r="L6" s="107"/>
      <c r="M6" s="150"/>
      <c r="N6" s="107"/>
      <c r="O6" s="150"/>
      <c r="P6" s="107"/>
      <c r="Q6" s="195"/>
      <c r="R6" s="196"/>
      <c r="S6" s="150"/>
      <c r="T6" s="107"/>
      <c r="U6" s="150"/>
      <c r="V6" s="107"/>
      <c r="W6" s="150"/>
      <c r="X6" s="107"/>
      <c r="Y6" s="195"/>
      <c r="Z6" s="196"/>
      <c r="AA6" s="150"/>
      <c r="AB6" s="107"/>
      <c r="AC6" s="150"/>
      <c r="AD6" s="107"/>
      <c r="AE6" s="150"/>
      <c r="AF6" s="189"/>
      <c r="AG6" s="195"/>
      <c r="AH6" s="196"/>
      <c r="AI6" s="150"/>
      <c r="AJ6" s="107"/>
      <c r="AK6" s="150"/>
      <c r="AL6" s="107"/>
      <c r="AM6" s="150"/>
      <c r="AN6" s="107"/>
    </row>
    <row r="7" spans="2:42" ht="12.75">
      <c r="B7" s="62" t="s">
        <v>32</v>
      </c>
      <c r="C7" s="50" t="s">
        <v>207</v>
      </c>
      <c r="D7" s="50"/>
      <c r="E7" s="50"/>
      <c r="F7" s="17"/>
      <c r="G7" s="197">
        <f>SUM(G9:G16)</f>
        <v>6385803.2299999995</v>
      </c>
      <c r="H7" s="198">
        <f>G7/G$5</f>
        <v>1</v>
      </c>
      <c r="I7" s="197">
        <f>SUM(I9:I16)</f>
        <v>1258896.43</v>
      </c>
      <c r="J7" s="198">
        <f>I7/I$5</f>
        <v>1</v>
      </c>
      <c r="K7" s="171">
        <f>SUM(K9:K16)</f>
        <v>0</v>
      </c>
      <c r="L7" s="151" t="e">
        <f>K7/K$5</f>
        <v>#DIV/0!</v>
      </c>
      <c r="M7" s="171">
        <f>SUM(M9:M16)</f>
        <v>639166.85</v>
      </c>
      <c r="N7" s="151">
        <f>M7/M$5</f>
        <v>1</v>
      </c>
      <c r="O7" s="171">
        <f>SUM(O9:O16)</f>
        <v>619729.5800000001</v>
      </c>
      <c r="P7" s="151">
        <f>O7/O$5</f>
        <v>1</v>
      </c>
      <c r="Q7" s="197">
        <f>SUM(Q9:Q16)</f>
        <v>1632112.5499999998</v>
      </c>
      <c r="R7" s="198">
        <f>Q7/Q$5</f>
        <v>1</v>
      </c>
      <c r="S7" s="171">
        <f>SUM(S9:S16)</f>
        <v>538154.6</v>
      </c>
      <c r="T7" s="151">
        <f>S7/S$5</f>
        <v>1</v>
      </c>
      <c r="U7" s="64">
        <f>SUM(U9:U16)</f>
        <v>570024.1</v>
      </c>
      <c r="V7" s="151">
        <f>U7/U$5</f>
        <v>1</v>
      </c>
      <c r="W7" s="64">
        <f>SUM(W9:W16)</f>
        <v>523933.85</v>
      </c>
      <c r="X7" s="151">
        <f>W7/W$5</f>
        <v>1</v>
      </c>
      <c r="Y7" s="197">
        <f>SUM(Y9:Y16)</f>
        <v>1596674.5499999998</v>
      </c>
      <c r="Z7" s="198">
        <f>Y7/Y$5</f>
        <v>1</v>
      </c>
      <c r="AA7" s="64">
        <f>SUM(AA9:AA16)</f>
        <v>523712.85</v>
      </c>
      <c r="AB7" s="151">
        <f>AA7/AA$5</f>
        <v>1</v>
      </c>
      <c r="AC7" s="64">
        <f>SUM(AC9:AC16)</f>
        <v>531979.85</v>
      </c>
      <c r="AD7" s="151">
        <f>AC7/AC$5</f>
        <v>1</v>
      </c>
      <c r="AE7" s="64">
        <f>SUM(AE9:AE16)</f>
        <v>540981.85</v>
      </c>
      <c r="AF7" s="188">
        <f>AE7/AE$5</f>
        <v>1</v>
      </c>
      <c r="AG7" s="197">
        <f>SUM(AG9:AG16)</f>
        <v>1898119.7000000002</v>
      </c>
      <c r="AH7" s="198">
        <f>AG7/AG$5</f>
        <v>1</v>
      </c>
      <c r="AI7" s="64">
        <f>SUM(AI9:AI16)</f>
        <v>605584.43</v>
      </c>
      <c r="AJ7" s="151">
        <f>AI7/AI$5</f>
        <v>1</v>
      </c>
      <c r="AK7" s="64">
        <f>SUM(AK9:AK16)</f>
        <v>678613.6599999999</v>
      </c>
      <c r="AL7" s="151">
        <f>AK7/AK$5</f>
        <v>1</v>
      </c>
      <c r="AM7" s="64">
        <f>SUM(AM9:AM16)</f>
        <v>613921.61</v>
      </c>
      <c r="AN7" s="151">
        <f>AM7/AM$5</f>
        <v>1</v>
      </c>
      <c r="AP7" s="174"/>
    </row>
    <row r="8" spans="2:40" ht="6" customHeight="1">
      <c r="B8" s="62"/>
      <c r="C8" s="53"/>
      <c r="D8" s="17"/>
      <c r="E8" s="17"/>
      <c r="F8" s="17"/>
      <c r="G8" s="254"/>
      <c r="H8" s="200"/>
      <c r="I8" s="199"/>
      <c r="J8" s="200"/>
      <c r="K8" s="178"/>
      <c r="L8" s="152"/>
      <c r="M8" s="178"/>
      <c r="N8" s="152"/>
      <c r="O8" s="178"/>
      <c r="P8" s="152"/>
      <c r="Q8" s="199"/>
      <c r="R8" s="200"/>
      <c r="S8" s="178"/>
      <c r="T8" s="152"/>
      <c r="U8" s="178"/>
      <c r="V8" s="152"/>
      <c r="W8" s="178"/>
      <c r="X8" s="152"/>
      <c r="Y8" s="199"/>
      <c r="Z8" s="200"/>
      <c r="AA8" s="178"/>
      <c r="AB8" s="152"/>
      <c r="AC8" s="178"/>
      <c r="AD8" s="152"/>
      <c r="AE8" s="178"/>
      <c r="AF8" s="190"/>
      <c r="AG8" s="199"/>
      <c r="AH8" s="200"/>
      <c r="AI8" s="178"/>
      <c r="AJ8" s="152"/>
      <c r="AK8" s="178"/>
      <c r="AL8" s="152"/>
      <c r="AM8" s="178"/>
      <c r="AN8" s="152"/>
    </row>
    <row r="9" spans="2:40" ht="12.75">
      <c r="B9" s="62" t="s">
        <v>32</v>
      </c>
      <c r="C9" s="53" t="s">
        <v>255</v>
      </c>
      <c r="D9" s="270" t="s">
        <v>85</v>
      </c>
      <c r="E9" s="270"/>
      <c r="F9" s="270"/>
      <c r="G9" s="255">
        <f aca="true" t="shared" si="0" ref="G9:G16">AM9+AK9+AI9+AE9+AC9+AA9+W9+U9+S9+O9+M9+K9</f>
        <v>5599328.4799999995</v>
      </c>
      <c r="H9" s="200">
        <f aca="true" t="shared" si="1" ref="H9:H16">+G9/G$5</f>
        <v>0.8768401214893056</v>
      </c>
      <c r="I9" s="201">
        <f aca="true" t="shared" si="2" ref="I9:I16">O9+M9+K9</f>
        <v>1032290.4299999999</v>
      </c>
      <c r="J9" s="200">
        <f aca="true" t="shared" si="3" ref="J9:J16">+I9/I$5</f>
        <v>0.8199963121668397</v>
      </c>
      <c r="K9" s="182"/>
      <c r="L9" s="152" t="e">
        <f>+K9/K$5</f>
        <v>#DIV/0!</v>
      </c>
      <c r="M9" s="182">
        <v>517038.85</v>
      </c>
      <c r="N9" s="152">
        <f>+M9/M$5</f>
        <v>0.8089262608034193</v>
      </c>
      <c r="O9" s="182">
        <v>515251.58</v>
      </c>
      <c r="P9" s="152">
        <f>+O9/O$5</f>
        <v>0.8314135658975644</v>
      </c>
      <c r="Q9" s="201">
        <f aca="true" t="shared" si="4" ref="Q9:Q16">W9+U9+S9</f>
        <v>1528681.5499999998</v>
      </c>
      <c r="R9" s="200">
        <f aca="true" t="shared" si="5" ref="R9:R16">+Q9/Q$5</f>
        <v>0.9366275322127754</v>
      </c>
      <c r="S9" s="182">
        <v>511482.6</v>
      </c>
      <c r="T9" s="152">
        <f>+S9/S$5</f>
        <v>0.9504380339775967</v>
      </c>
      <c r="U9" s="182">
        <v>509260.1</v>
      </c>
      <c r="V9" s="152">
        <f aca="true" t="shared" si="6" ref="V9:V16">+U9/U$5</f>
        <v>0.893400998308668</v>
      </c>
      <c r="W9" s="182">
        <v>507938.85</v>
      </c>
      <c r="X9" s="152">
        <f aca="true" t="shared" si="7" ref="X9:X16">+W9/W$5</f>
        <v>0.9694713368872807</v>
      </c>
      <c r="Y9" s="201">
        <f aca="true" t="shared" si="8" ref="Y9:Y16">AE9+AC9+AA9</f>
        <v>1522541.5499999998</v>
      </c>
      <c r="Z9" s="200">
        <f aca="true" t="shared" si="9" ref="Z9:Z16">+Y9/Y$5</f>
        <v>0.9535703753780005</v>
      </c>
      <c r="AA9" s="182">
        <v>507513.85</v>
      </c>
      <c r="AB9" s="152">
        <f aca="true" t="shared" si="10" ref="AB9:AB16">+AA9/AA$5</f>
        <v>0.9690689277530616</v>
      </c>
      <c r="AC9" s="177">
        <v>507513.85</v>
      </c>
      <c r="AD9" s="152">
        <f aca="true" t="shared" si="11" ref="AD9:AD16">+AC9/AC$5</f>
        <v>0.9540095362634505</v>
      </c>
      <c r="AE9" s="177">
        <v>507513.85</v>
      </c>
      <c r="AF9" s="190">
        <f aca="true" t="shared" si="12" ref="AF9:AF16">+AE9/AE$5</f>
        <v>0.9381347082161814</v>
      </c>
      <c r="AG9" s="201">
        <f aca="true" t="shared" si="13" ref="AG9:AG16">AM9+AK9+AI9</f>
        <v>1515814.95</v>
      </c>
      <c r="AH9" s="200">
        <f aca="true" t="shared" si="14" ref="AH9:AJ16">+AG9/AG$5</f>
        <v>0.7985876496619259</v>
      </c>
      <c r="AI9" s="177">
        <v>507455.1</v>
      </c>
      <c r="AJ9" s="152">
        <f t="shared" si="14"/>
        <v>0.8379592916548398</v>
      </c>
      <c r="AK9" s="177">
        <v>506987.35</v>
      </c>
      <c r="AL9" s="152">
        <f aca="true" t="shared" si="15" ref="AL9:AL16">+AK9/AK$5</f>
        <v>0.7470927567240542</v>
      </c>
      <c r="AM9" s="177">
        <v>501372.5</v>
      </c>
      <c r="AN9" s="152">
        <f aca="true" t="shared" si="16" ref="AN9:AN16">+AM9/AM$5</f>
        <v>0.8166718548969143</v>
      </c>
    </row>
    <row r="10" spans="2:40" ht="12.75">
      <c r="B10" s="62" t="s">
        <v>32</v>
      </c>
      <c r="C10" s="53" t="s">
        <v>256</v>
      </c>
      <c r="D10" s="270" t="s">
        <v>131</v>
      </c>
      <c r="E10" s="270"/>
      <c r="F10" s="270"/>
      <c r="G10" s="255">
        <f t="shared" si="0"/>
        <v>418041.75</v>
      </c>
      <c r="H10" s="200">
        <f t="shared" si="1"/>
        <v>0.06546423917919564</v>
      </c>
      <c r="I10" s="201">
        <f t="shared" si="2"/>
        <v>64400</v>
      </c>
      <c r="J10" s="200">
        <f t="shared" si="3"/>
        <v>0.05115591597952184</v>
      </c>
      <c r="K10" s="63"/>
      <c r="L10" s="152" t="e">
        <f aca="true" t="shared" si="17" ref="L10:L16">+K10/K$5</f>
        <v>#DIV/0!</v>
      </c>
      <c r="M10" s="63">
        <v>35423</v>
      </c>
      <c r="N10" s="152">
        <f aca="true" t="shared" si="18" ref="N10:N16">+M10/M$5</f>
        <v>0.05542058384285731</v>
      </c>
      <c r="O10" s="63">
        <v>28977</v>
      </c>
      <c r="P10" s="152">
        <f aca="true" t="shared" si="19" ref="P10:P16">+O10/O$5</f>
        <v>0.046757490581617864</v>
      </c>
      <c r="Q10" s="201">
        <f t="shared" si="4"/>
        <v>49495</v>
      </c>
      <c r="R10" s="200">
        <f t="shared" si="5"/>
        <v>0.030325727230024673</v>
      </c>
      <c r="S10" s="63">
        <v>23236</v>
      </c>
      <c r="T10" s="152">
        <f aca="true" t="shared" si="20" ref="T10:T16">+S10/S$5</f>
        <v>0.043177183656889676</v>
      </c>
      <c r="U10" s="63">
        <v>15574</v>
      </c>
      <c r="V10" s="152">
        <f t="shared" si="6"/>
        <v>0.02732165183893102</v>
      </c>
      <c r="W10" s="63">
        <v>10685</v>
      </c>
      <c r="X10" s="152">
        <f t="shared" si="7"/>
        <v>0.020393795896180407</v>
      </c>
      <c r="Y10" s="201">
        <f t="shared" si="8"/>
        <v>55701</v>
      </c>
      <c r="Z10" s="200">
        <f t="shared" si="9"/>
        <v>0.03488563151457509</v>
      </c>
      <c r="AA10" s="63">
        <v>12249</v>
      </c>
      <c r="AB10" s="152">
        <f t="shared" si="10"/>
        <v>0.02338877115579654</v>
      </c>
      <c r="AC10" s="177">
        <v>18096</v>
      </c>
      <c r="AD10" s="152">
        <f t="shared" si="11"/>
        <v>0.03401632599430223</v>
      </c>
      <c r="AE10" s="177">
        <v>25356</v>
      </c>
      <c r="AF10" s="190">
        <f t="shared" si="12"/>
        <v>0.046870334004736024</v>
      </c>
      <c r="AG10" s="201">
        <f t="shared" si="13"/>
        <v>248445.75</v>
      </c>
      <c r="AH10" s="200">
        <f t="shared" si="14"/>
        <v>0.13089045437966845</v>
      </c>
      <c r="AI10" s="177">
        <v>83126.33</v>
      </c>
      <c r="AJ10" s="152">
        <f t="shared" si="14"/>
        <v>0.1372662933226338</v>
      </c>
      <c r="AK10" s="177">
        <v>81864.31</v>
      </c>
      <c r="AL10" s="152">
        <f t="shared" si="15"/>
        <v>0.12063463326099272</v>
      </c>
      <c r="AM10" s="177">
        <v>83455.11</v>
      </c>
      <c r="AN10" s="152">
        <f t="shared" si="16"/>
        <v>0.13593772990007633</v>
      </c>
    </row>
    <row r="11" spans="2:40" ht="12.75">
      <c r="B11" s="62" t="s">
        <v>32</v>
      </c>
      <c r="C11" s="53" t="s">
        <v>258</v>
      </c>
      <c r="D11" s="270" t="s">
        <v>132</v>
      </c>
      <c r="E11" s="270"/>
      <c r="F11" s="270"/>
      <c r="G11" s="255">
        <f t="shared" si="0"/>
        <v>525</v>
      </c>
      <c r="H11" s="200">
        <f t="shared" si="1"/>
        <v>8.221361997713795E-05</v>
      </c>
      <c r="I11" s="201">
        <f t="shared" si="2"/>
        <v>0</v>
      </c>
      <c r="J11" s="200">
        <f t="shared" si="3"/>
        <v>0</v>
      </c>
      <c r="K11" s="63"/>
      <c r="L11" s="152" t="e">
        <f t="shared" si="17"/>
        <v>#DIV/0!</v>
      </c>
      <c r="M11" s="63">
        <v>0</v>
      </c>
      <c r="N11" s="152">
        <f t="shared" si="18"/>
        <v>0</v>
      </c>
      <c r="O11" s="63">
        <v>0</v>
      </c>
      <c r="P11" s="152">
        <f t="shared" si="19"/>
        <v>0</v>
      </c>
      <c r="Q11" s="201">
        <f t="shared" si="4"/>
        <v>0</v>
      </c>
      <c r="R11" s="200">
        <f t="shared" si="5"/>
        <v>0</v>
      </c>
      <c r="S11" s="63">
        <v>0</v>
      </c>
      <c r="T11" s="152">
        <f t="shared" si="20"/>
        <v>0</v>
      </c>
      <c r="U11" s="63">
        <v>0</v>
      </c>
      <c r="V11" s="152">
        <f t="shared" si="6"/>
        <v>0</v>
      </c>
      <c r="W11" s="63">
        <v>0</v>
      </c>
      <c r="X11" s="152">
        <f t="shared" si="7"/>
        <v>0</v>
      </c>
      <c r="Y11" s="201">
        <f t="shared" si="8"/>
        <v>0</v>
      </c>
      <c r="Z11" s="200">
        <f t="shared" si="9"/>
        <v>0</v>
      </c>
      <c r="AA11" s="63">
        <v>0</v>
      </c>
      <c r="AB11" s="152">
        <f t="shared" si="10"/>
        <v>0</v>
      </c>
      <c r="AC11" s="177"/>
      <c r="AD11" s="152">
        <f t="shared" si="11"/>
        <v>0</v>
      </c>
      <c r="AE11" s="177">
        <v>0</v>
      </c>
      <c r="AF11" s="190">
        <f t="shared" si="12"/>
        <v>0</v>
      </c>
      <c r="AG11" s="201">
        <f t="shared" si="13"/>
        <v>525</v>
      </c>
      <c r="AH11" s="200">
        <f t="shared" si="14"/>
        <v>0.0002765895111883618</v>
      </c>
      <c r="AI11" s="177">
        <v>135</v>
      </c>
      <c r="AJ11" s="152">
        <f t="shared" si="14"/>
        <v>0.00022292515017270176</v>
      </c>
      <c r="AK11" s="177">
        <v>190</v>
      </c>
      <c r="AL11" s="152">
        <f t="shared" si="15"/>
        <v>0.0002799825750634021</v>
      </c>
      <c r="AM11" s="177">
        <v>200</v>
      </c>
      <c r="AN11" s="152">
        <f t="shared" si="16"/>
        <v>0.0003257744909810228</v>
      </c>
    </row>
    <row r="12" spans="2:40" ht="12.75">
      <c r="B12" s="62" t="s">
        <v>32</v>
      </c>
      <c r="C12" s="53" t="s">
        <v>257</v>
      </c>
      <c r="D12" s="270" t="s">
        <v>208</v>
      </c>
      <c r="E12" s="270"/>
      <c r="F12" s="270"/>
      <c r="G12" s="255">
        <f t="shared" si="0"/>
        <v>2300</v>
      </c>
      <c r="H12" s="200">
        <f t="shared" si="1"/>
        <v>0.0003601739541855567</v>
      </c>
      <c r="I12" s="201">
        <f t="shared" si="2"/>
        <v>0</v>
      </c>
      <c r="J12" s="200">
        <f t="shared" si="3"/>
        <v>0</v>
      </c>
      <c r="K12" s="182"/>
      <c r="L12" s="152" t="e">
        <f t="shared" si="17"/>
        <v>#DIV/0!</v>
      </c>
      <c r="M12" s="182">
        <v>0</v>
      </c>
      <c r="N12" s="152">
        <f t="shared" si="18"/>
        <v>0</v>
      </c>
      <c r="O12" s="182">
        <v>0</v>
      </c>
      <c r="P12" s="152">
        <f t="shared" si="19"/>
        <v>0</v>
      </c>
      <c r="Q12" s="201">
        <f t="shared" si="4"/>
        <v>0</v>
      </c>
      <c r="R12" s="200">
        <f t="shared" si="5"/>
        <v>0</v>
      </c>
      <c r="S12" s="182">
        <v>0</v>
      </c>
      <c r="T12" s="152">
        <f t="shared" si="20"/>
        <v>0</v>
      </c>
      <c r="U12" s="182">
        <v>0</v>
      </c>
      <c r="V12" s="152">
        <f t="shared" si="6"/>
        <v>0</v>
      </c>
      <c r="W12" s="182">
        <v>0</v>
      </c>
      <c r="X12" s="152">
        <f t="shared" si="7"/>
        <v>0</v>
      </c>
      <c r="Y12" s="201">
        <f t="shared" si="8"/>
        <v>0</v>
      </c>
      <c r="Z12" s="200">
        <f t="shared" si="9"/>
        <v>0</v>
      </c>
      <c r="AA12" s="182">
        <v>0</v>
      </c>
      <c r="AB12" s="152">
        <f t="shared" si="10"/>
        <v>0</v>
      </c>
      <c r="AC12" s="177">
        <v>0</v>
      </c>
      <c r="AD12" s="152">
        <f t="shared" si="11"/>
        <v>0</v>
      </c>
      <c r="AE12" s="177">
        <v>0</v>
      </c>
      <c r="AF12" s="190">
        <f t="shared" si="12"/>
        <v>0</v>
      </c>
      <c r="AG12" s="201">
        <f t="shared" si="13"/>
        <v>2300</v>
      </c>
      <c r="AH12" s="200">
        <f t="shared" si="14"/>
        <v>0.0012117254775871088</v>
      </c>
      <c r="AI12" s="177">
        <v>2070</v>
      </c>
      <c r="AJ12" s="152">
        <f t="shared" si="14"/>
        <v>0.0034181856359814266</v>
      </c>
      <c r="AK12" s="177">
        <v>0</v>
      </c>
      <c r="AL12" s="152">
        <f t="shared" si="15"/>
        <v>0</v>
      </c>
      <c r="AM12" s="177">
        <v>230</v>
      </c>
      <c r="AN12" s="152">
        <f t="shared" si="16"/>
        <v>0.00037464066462817626</v>
      </c>
    </row>
    <row r="13" spans="2:40" ht="12.75">
      <c r="B13" s="62" t="s">
        <v>32</v>
      </c>
      <c r="C13" s="53" t="s">
        <v>259</v>
      </c>
      <c r="D13" s="270" t="s">
        <v>247</v>
      </c>
      <c r="E13" s="270"/>
      <c r="F13" s="270"/>
      <c r="G13" s="255">
        <f>AM13+AK13+AI13+AE13+AC13+AA13+W13+U13+S13+O13+M13+K13</f>
        <v>293210</v>
      </c>
      <c r="H13" s="200">
        <f t="shared" si="1"/>
        <v>0.045915915263803085</v>
      </c>
      <c r="I13" s="201">
        <f t="shared" si="2"/>
        <v>147850</v>
      </c>
      <c r="J13" s="200">
        <f t="shared" si="3"/>
        <v>0.11744413319211654</v>
      </c>
      <c r="K13" s="177"/>
      <c r="L13" s="152" t="e">
        <f t="shared" si="17"/>
        <v>#DIV/0!</v>
      </c>
      <c r="M13" s="177">
        <f>78375</f>
        <v>78375</v>
      </c>
      <c r="N13" s="152">
        <f t="shared" si="18"/>
        <v>0.12262056456776506</v>
      </c>
      <c r="O13" s="177">
        <f>57475+22000-10000</f>
        <v>69475</v>
      </c>
      <c r="P13" s="152">
        <f t="shared" si="19"/>
        <v>0.11210534762597582</v>
      </c>
      <c r="Q13" s="201">
        <f t="shared" si="4"/>
        <v>41800</v>
      </c>
      <c r="R13" s="200">
        <f t="shared" si="5"/>
        <v>0.025610978850692624</v>
      </c>
      <c r="S13" s="177">
        <v>0</v>
      </c>
      <c r="T13" s="152">
        <f t="shared" si="20"/>
        <v>0</v>
      </c>
      <c r="U13" s="177">
        <v>41800</v>
      </c>
      <c r="V13" s="152">
        <f t="shared" si="6"/>
        <v>0.07333023287962738</v>
      </c>
      <c r="W13" s="177">
        <v>0</v>
      </c>
      <c r="X13" s="152">
        <f t="shared" si="7"/>
        <v>0</v>
      </c>
      <c r="Y13" s="201">
        <f t="shared" si="8"/>
        <v>0</v>
      </c>
      <c r="Z13" s="200">
        <f t="shared" si="9"/>
        <v>0</v>
      </c>
      <c r="AA13" s="177">
        <v>0</v>
      </c>
      <c r="AB13" s="152">
        <f t="shared" si="10"/>
        <v>0</v>
      </c>
      <c r="AC13" s="177">
        <v>0</v>
      </c>
      <c r="AD13" s="152">
        <f t="shared" si="11"/>
        <v>0</v>
      </c>
      <c r="AE13" s="177">
        <v>0</v>
      </c>
      <c r="AF13" s="190">
        <f t="shared" si="12"/>
        <v>0</v>
      </c>
      <c r="AG13" s="201">
        <f t="shared" si="13"/>
        <v>103560</v>
      </c>
      <c r="AH13" s="200">
        <f t="shared" si="14"/>
        <v>0.054559256721269996</v>
      </c>
      <c r="AI13" s="177">
        <v>0</v>
      </c>
      <c r="AJ13" s="152">
        <f t="shared" si="14"/>
        <v>0</v>
      </c>
      <c r="AK13" s="177">
        <v>83600</v>
      </c>
      <c r="AL13" s="152">
        <f t="shared" si="15"/>
        <v>0.12319233302789692</v>
      </c>
      <c r="AM13" s="177">
        <v>19960</v>
      </c>
      <c r="AN13" s="152">
        <f t="shared" si="16"/>
        <v>0.032512294199906075</v>
      </c>
    </row>
    <row r="14" spans="2:40" ht="12" customHeight="1">
      <c r="B14" s="62" t="s">
        <v>32</v>
      </c>
      <c r="C14" s="53" t="s">
        <v>262</v>
      </c>
      <c r="D14" s="270" t="s">
        <v>86</v>
      </c>
      <c r="E14" s="270"/>
      <c r="F14" s="270"/>
      <c r="G14" s="255">
        <f t="shared" si="0"/>
        <v>3800</v>
      </c>
      <c r="H14" s="200">
        <f t="shared" si="1"/>
        <v>0.0005950700112630937</v>
      </c>
      <c r="I14" s="201">
        <f t="shared" si="2"/>
        <v>900</v>
      </c>
      <c r="J14" s="200">
        <f t="shared" si="3"/>
        <v>0.000714911869279032</v>
      </c>
      <c r="K14" s="177"/>
      <c r="L14" s="152" t="e">
        <f t="shared" si="17"/>
        <v>#DIV/0!</v>
      </c>
      <c r="M14" s="177">
        <v>700</v>
      </c>
      <c r="N14" s="152">
        <f t="shared" si="18"/>
        <v>0.001095175696299018</v>
      </c>
      <c r="O14" s="177">
        <v>200</v>
      </c>
      <c r="P14" s="152">
        <f t="shared" si="19"/>
        <v>0.0003227214037451625</v>
      </c>
      <c r="Q14" s="201">
        <f t="shared" si="4"/>
        <v>0</v>
      </c>
      <c r="R14" s="200">
        <f t="shared" si="5"/>
        <v>0</v>
      </c>
      <c r="S14" s="177">
        <v>0</v>
      </c>
      <c r="T14" s="152">
        <f t="shared" si="20"/>
        <v>0</v>
      </c>
      <c r="U14" s="177">
        <v>0</v>
      </c>
      <c r="V14" s="152">
        <f t="shared" si="6"/>
        <v>0</v>
      </c>
      <c r="W14" s="177">
        <v>0</v>
      </c>
      <c r="X14" s="152">
        <f t="shared" si="7"/>
        <v>0</v>
      </c>
      <c r="Y14" s="201">
        <f t="shared" si="8"/>
        <v>0</v>
      </c>
      <c r="Z14" s="200">
        <f t="shared" si="9"/>
        <v>0</v>
      </c>
      <c r="AA14" s="177"/>
      <c r="AB14" s="152">
        <f t="shared" si="10"/>
        <v>0</v>
      </c>
      <c r="AC14" s="177">
        <v>0</v>
      </c>
      <c r="AD14" s="152">
        <f t="shared" si="11"/>
        <v>0</v>
      </c>
      <c r="AE14" s="177">
        <v>0</v>
      </c>
      <c r="AF14" s="190">
        <f t="shared" si="12"/>
        <v>0</v>
      </c>
      <c r="AG14" s="201">
        <f t="shared" si="13"/>
        <v>2900</v>
      </c>
      <c r="AH14" s="200">
        <f t="shared" si="14"/>
        <v>0.0015278277760880938</v>
      </c>
      <c r="AI14" s="177">
        <v>150</v>
      </c>
      <c r="AJ14" s="152">
        <f t="shared" si="14"/>
        <v>0.00024769461130300194</v>
      </c>
      <c r="AK14" s="177">
        <v>400</v>
      </c>
      <c r="AL14" s="152">
        <f t="shared" si="15"/>
        <v>0.000589437000133478</v>
      </c>
      <c r="AM14" s="177">
        <v>2350</v>
      </c>
      <c r="AN14" s="152">
        <f t="shared" si="16"/>
        <v>0.003827850269027018</v>
      </c>
    </row>
    <row r="15" spans="2:43" ht="12.75">
      <c r="B15" s="62" t="s">
        <v>32</v>
      </c>
      <c r="C15" s="53" t="s">
        <v>260</v>
      </c>
      <c r="D15" s="270" t="s">
        <v>249</v>
      </c>
      <c r="E15" s="270"/>
      <c r="F15" s="270"/>
      <c r="G15" s="255">
        <f t="shared" si="0"/>
        <v>68598.00000000012</v>
      </c>
      <c r="H15" s="200">
        <f t="shared" si="1"/>
        <v>0.01074226648226994</v>
      </c>
      <c r="I15" s="201">
        <f t="shared" si="2"/>
        <v>13456</v>
      </c>
      <c r="J15" s="200">
        <f t="shared" si="3"/>
        <v>0.01068872679224295</v>
      </c>
      <c r="K15" s="177"/>
      <c r="L15" s="152" t="e">
        <f t="shared" si="17"/>
        <v>#DIV/0!</v>
      </c>
      <c r="M15" s="177">
        <f>1020+60+180+1920+960+2770+600+120</f>
        <v>7630</v>
      </c>
      <c r="N15" s="152">
        <f t="shared" si="18"/>
        <v>0.011937415089659297</v>
      </c>
      <c r="O15" s="177">
        <f>1170+120+240+480+3276+420+120</f>
        <v>5826</v>
      </c>
      <c r="P15" s="152">
        <f t="shared" si="19"/>
        <v>0.009400874491096584</v>
      </c>
      <c r="Q15" s="201">
        <f t="shared" si="4"/>
        <v>12136</v>
      </c>
      <c r="R15" s="200">
        <f t="shared" si="5"/>
        <v>0.007435761706507313</v>
      </c>
      <c r="S15" s="177">
        <f>538154.6-S9-S10-S11-S13-S14</f>
        <v>3436</v>
      </c>
      <c r="T15" s="152">
        <f t="shared" si="20"/>
        <v>0.006384782365513554</v>
      </c>
      <c r="U15" s="177">
        <f>570024.1-U9-U10-U11-U13-U14</f>
        <v>3390</v>
      </c>
      <c r="V15" s="152">
        <f t="shared" si="6"/>
        <v>0.005947116972773608</v>
      </c>
      <c r="W15" s="177">
        <f>523933.85-W9-W10-W11-W13-W14</f>
        <v>5310</v>
      </c>
      <c r="X15" s="152">
        <f t="shared" si="7"/>
        <v>0.010134867216538883</v>
      </c>
      <c r="Y15" s="201">
        <f t="shared" si="8"/>
        <v>18432</v>
      </c>
      <c r="Z15" s="200">
        <f t="shared" si="9"/>
        <v>0.01154399310742443</v>
      </c>
      <c r="AA15" s="177">
        <f>523712.85-AA9-AA10-AA11-AA13-AA14</f>
        <v>3950</v>
      </c>
      <c r="AB15" s="152">
        <f t="shared" si="10"/>
        <v>0.007542301091141835</v>
      </c>
      <c r="AC15" s="177">
        <f>531979.85-AC9-AC10-AC11-AC13-AC14</f>
        <v>6370</v>
      </c>
      <c r="AD15" s="152">
        <f t="shared" si="11"/>
        <v>0.011974137742247194</v>
      </c>
      <c r="AE15" s="177">
        <f>540981.85-AE9-AE10-AE11-AE13-AE14</f>
        <v>8112</v>
      </c>
      <c r="AF15" s="190">
        <f t="shared" si="12"/>
        <v>0.014994957779082607</v>
      </c>
      <c r="AG15" s="201">
        <f t="shared" si="13"/>
        <v>24574.000000000116</v>
      </c>
      <c r="AH15" s="200">
        <f t="shared" si="14"/>
        <v>0.012946496472272067</v>
      </c>
      <c r="AI15" s="177">
        <f>603514.43-AI9-AI10-AI11-AI13-AI14</f>
        <v>12648.000000000073</v>
      </c>
      <c r="AJ15" s="152">
        <f t="shared" si="14"/>
        <v>0.020885609625069242</v>
      </c>
      <c r="AK15" s="177">
        <f>678613.66-AK9-AK10-AK11-AK13-AK14</f>
        <v>5572.000000000058</v>
      </c>
      <c r="AL15" s="152">
        <f t="shared" si="15"/>
        <v>0.008210857411859436</v>
      </c>
      <c r="AM15" s="177">
        <f>613691.61-AM9-AM10-AM11-AM13-AM14</f>
        <v>6353.999999999985</v>
      </c>
      <c r="AN15" s="152">
        <f t="shared" si="16"/>
        <v>0.010349855578467071</v>
      </c>
      <c r="AQ15" s="174"/>
    </row>
    <row r="16" spans="2:40" ht="12.75" hidden="1">
      <c r="B16" s="62" t="s">
        <v>32</v>
      </c>
      <c r="C16" s="53" t="s">
        <v>261</v>
      </c>
      <c r="D16" s="270" t="s">
        <v>272</v>
      </c>
      <c r="E16" s="270"/>
      <c r="F16" s="270"/>
      <c r="G16" s="255">
        <f t="shared" si="0"/>
        <v>0</v>
      </c>
      <c r="H16" s="200">
        <f t="shared" si="1"/>
        <v>0</v>
      </c>
      <c r="I16" s="201">
        <f t="shared" si="2"/>
        <v>0</v>
      </c>
      <c r="J16" s="200">
        <f t="shared" si="3"/>
        <v>0</v>
      </c>
      <c r="K16" s="177"/>
      <c r="L16" s="152" t="e">
        <f t="shared" si="17"/>
        <v>#DIV/0!</v>
      </c>
      <c r="M16" s="177"/>
      <c r="N16" s="152">
        <f t="shared" si="18"/>
        <v>0</v>
      </c>
      <c r="O16" s="177">
        <v>0</v>
      </c>
      <c r="P16" s="152">
        <f t="shared" si="19"/>
        <v>0</v>
      </c>
      <c r="Q16" s="201">
        <f t="shared" si="4"/>
        <v>0</v>
      </c>
      <c r="R16" s="200">
        <f t="shared" si="5"/>
        <v>0</v>
      </c>
      <c r="S16" s="177"/>
      <c r="T16" s="152">
        <f t="shared" si="20"/>
        <v>0</v>
      </c>
      <c r="U16" s="177"/>
      <c r="V16" s="152">
        <f t="shared" si="6"/>
        <v>0</v>
      </c>
      <c r="W16" s="177"/>
      <c r="X16" s="152">
        <f t="shared" si="7"/>
        <v>0</v>
      </c>
      <c r="Y16" s="201">
        <f t="shared" si="8"/>
        <v>0</v>
      </c>
      <c r="Z16" s="200">
        <f t="shared" si="9"/>
        <v>0</v>
      </c>
      <c r="AA16" s="177"/>
      <c r="AB16" s="152">
        <f t="shared" si="10"/>
        <v>0</v>
      </c>
      <c r="AC16" s="177">
        <v>0</v>
      </c>
      <c r="AD16" s="152">
        <f t="shared" si="11"/>
        <v>0</v>
      </c>
      <c r="AE16" s="177"/>
      <c r="AF16" s="190">
        <f t="shared" si="12"/>
        <v>0</v>
      </c>
      <c r="AG16" s="201">
        <f t="shared" si="13"/>
        <v>0</v>
      </c>
      <c r="AH16" s="200">
        <f t="shared" si="14"/>
        <v>0</v>
      </c>
      <c r="AI16" s="177">
        <v>0</v>
      </c>
      <c r="AJ16" s="152">
        <f t="shared" si="14"/>
        <v>0</v>
      </c>
      <c r="AK16" s="177">
        <v>0</v>
      </c>
      <c r="AL16" s="152">
        <f t="shared" si="15"/>
        <v>0</v>
      </c>
      <c r="AM16" s="177">
        <v>0</v>
      </c>
      <c r="AN16" s="152">
        <f t="shared" si="16"/>
        <v>0</v>
      </c>
    </row>
    <row r="17" spans="2:40" ht="8.25" customHeight="1">
      <c r="B17" s="62"/>
      <c r="C17" s="53"/>
      <c r="D17" s="270"/>
      <c r="E17" s="270"/>
      <c r="F17" s="270"/>
      <c r="G17" s="197"/>
      <c r="H17" s="200"/>
      <c r="I17" s="199"/>
      <c r="J17" s="200"/>
      <c r="K17" s="64"/>
      <c r="L17" s="152"/>
      <c r="M17" s="64"/>
      <c r="N17" s="152"/>
      <c r="O17" s="64"/>
      <c r="P17" s="152"/>
      <c r="Q17" s="199"/>
      <c r="R17" s="200"/>
      <c r="S17" s="64"/>
      <c r="T17" s="152"/>
      <c r="U17" s="64"/>
      <c r="V17" s="152"/>
      <c r="W17" s="64"/>
      <c r="X17" s="152"/>
      <c r="Y17" s="199"/>
      <c r="Z17" s="200"/>
      <c r="AA17" s="64"/>
      <c r="AB17" s="152"/>
      <c r="AC17" s="64"/>
      <c r="AD17" s="152"/>
      <c r="AE17" s="64"/>
      <c r="AF17" s="190"/>
      <c r="AG17" s="199"/>
      <c r="AH17" s="200"/>
      <c r="AI17" s="64"/>
      <c r="AJ17" s="152"/>
      <c r="AK17" s="64"/>
      <c r="AL17" s="152"/>
      <c r="AM17" s="64"/>
      <c r="AN17" s="152"/>
    </row>
    <row r="18" spans="2:40" ht="12.75" hidden="1">
      <c r="B18" s="153" t="s">
        <v>53</v>
      </c>
      <c r="C18" s="50" t="s">
        <v>209</v>
      </c>
      <c r="D18" s="50"/>
      <c r="E18" s="154"/>
      <c r="F18" s="50"/>
      <c r="G18" s="197">
        <f>SUM(G19:G21)</f>
        <v>0</v>
      </c>
      <c r="H18" s="198">
        <f>+G18/G$5</f>
        <v>0</v>
      </c>
      <c r="I18" s="197">
        <f>SUM(I19:I21)</f>
        <v>0</v>
      </c>
      <c r="J18" s="198">
        <f>+I18/I$5</f>
        <v>0</v>
      </c>
      <c r="K18" s="64">
        <f>SUM(K19:K21)</f>
        <v>0</v>
      </c>
      <c r="L18" s="151" t="e">
        <f>+K18/K$5</f>
        <v>#DIV/0!</v>
      </c>
      <c r="M18" s="64">
        <f>SUM(M19:M21)</f>
        <v>0</v>
      </c>
      <c r="N18" s="151">
        <f>+M18/M$5</f>
        <v>0</v>
      </c>
      <c r="O18" s="64">
        <f>SUM(O19:O21)</f>
        <v>0</v>
      </c>
      <c r="P18" s="151">
        <f>+O18/O$5</f>
        <v>0</v>
      </c>
      <c r="Q18" s="197">
        <f>SUM(Q19:Q21)</f>
        <v>0</v>
      </c>
      <c r="R18" s="198">
        <f>+Q18/Q$5</f>
        <v>0</v>
      </c>
      <c r="S18" s="64">
        <f>SUM(S19:S21)</f>
        <v>0</v>
      </c>
      <c r="T18" s="151">
        <f>+S18/S$5</f>
        <v>0</v>
      </c>
      <c r="U18" s="64">
        <f>SUM(U19:U21)</f>
        <v>0</v>
      </c>
      <c r="V18" s="151">
        <f>+U18/U$5</f>
        <v>0</v>
      </c>
      <c r="W18" s="64">
        <f>SUM(W19:W21)</f>
        <v>0</v>
      </c>
      <c r="X18" s="151">
        <f>+W18/W$5</f>
        <v>0</v>
      </c>
      <c r="Y18" s="197">
        <f>SUM(Y19:Y21)</f>
        <v>0</v>
      </c>
      <c r="Z18" s="198">
        <f>+Y18/Y$5</f>
        <v>0</v>
      </c>
      <c r="AA18" s="64">
        <f>SUM(AA19:AA21)</f>
        <v>0</v>
      </c>
      <c r="AB18" s="151">
        <f>+AA18/AA$5</f>
        <v>0</v>
      </c>
      <c r="AC18" s="64">
        <f>SUM(AC19:AC21)</f>
        <v>0</v>
      </c>
      <c r="AD18" s="151">
        <f>+AC18/AC$5</f>
        <v>0</v>
      </c>
      <c r="AE18" s="64">
        <f>SUM(AE19:AE21)</f>
        <v>0</v>
      </c>
      <c r="AF18" s="188">
        <f>+AE18/AE$5</f>
        <v>0</v>
      </c>
      <c r="AG18" s="197">
        <f>SUM(AG19:AG21)</f>
        <v>0</v>
      </c>
      <c r="AH18" s="198">
        <f>+AG18/AG$5</f>
        <v>0</v>
      </c>
      <c r="AI18" s="64">
        <f>SUM(AI19:AI21)</f>
        <v>0</v>
      </c>
      <c r="AJ18" s="151">
        <f>+AI18/AI$5</f>
        <v>0</v>
      </c>
      <c r="AK18" s="64">
        <f>SUM(AK19:AK21)</f>
        <v>0</v>
      </c>
      <c r="AL18" s="151">
        <f>+AK18/AK$5</f>
        <v>0</v>
      </c>
      <c r="AM18" s="64">
        <f>SUM(AM19:AM21)</f>
        <v>0</v>
      </c>
      <c r="AN18" s="151">
        <f>+AM18/AM$5</f>
        <v>0</v>
      </c>
    </row>
    <row r="19" spans="2:40" ht="12.75" hidden="1">
      <c r="B19" s="62" t="s">
        <v>53</v>
      </c>
      <c r="C19" s="53" t="s">
        <v>253</v>
      </c>
      <c r="D19" s="17" t="s">
        <v>248</v>
      </c>
      <c r="E19" s="50"/>
      <c r="F19" s="50"/>
      <c r="G19" s="206">
        <f>AM19+AK19+AI19+AE19+AC19+AA19+W19+U19+S19+O19+M19+K19</f>
        <v>0</v>
      </c>
      <c r="H19" s="200">
        <f>+G19/G$5</f>
        <v>0</v>
      </c>
      <c r="I19" s="201">
        <f>O19+M19+K19</f>
        <v>0</v>
      </c>
      <c r="J19" s="200">
        <f>+I19/I$5</f>
        <v>0</v>
      </c>
      <c r="K19" s="63"/>
      <c r="L19" s="152" t="e">
        <f>+K19/K$5</f>
        <v>#DIV/0!</v>
      </c>
      <c r="M19" s="63"/>
      <c r="N19" s="152">
        <f>+M19/M$5</f>
        <v>0</v>
      </c>
      <c r="O19" s="63"/>
      <c r="P19" s="152">
        <f>+O19/O$5</f>
        <v>0</v>
      </c>
      <c r="Q19" s="201">
        <f>W19+U19+S19</f>
        <v>0</v>
      </c>
      <c r="R19" s="200">
        <f>+Q19/Q$5</f>
        <v>0</v>
      </c>
      <c r="S19" s="63"/>
      <c r="T19" s="152">
        <f>+S19/S$5</f>
        <v>0</v>
      </c>
      <c r="U19" s="63"/>
      <c r="V19" s="152">
        <f>+U19/U$5</f>
        <v>0</v>
      </c>
      <c r="W19" s="63"/>
      <c r="X19" s="152">
        <f>+W19/W$5</f>
        <v>0</v>
      </c>
      <c r="Y19" s="201">
        <f>AE19+AC19+AA19</f>
        <v>0</v>
      </c>
      <c r="Z19" s="200">
        <f>+Y19/Y$5</f>
        <v>0</v>
      </c>
      <c r="AA19" s="63"/>
      <c r="AB19" s="152">
        <f>+AA19/AA$5</f>
        <v>0</v>
      </c>
      <c r="AC19" s="63"/>
      <c r="AD19" s="152">
        <f>+AC19/AC$5</f>
        <v>0</v>
      </c>
      <c r="AE19" s="63"/>
      <c r="AF19" s="190">
        <f>+AE19/AE$5</f>
        <v>0</v>
      </c>
      <c r="AG19" s="201">
        <f>AM19+AK19+AI19</f>
        <v>0</v>
      </c>
      <c r="AH19" s="200">
        <f>+AG19/AG$5</f>
        <v>0</v>
      </c>
      <c r="AI19" s="63"/>
      <c r="AJ19" s="152">
        <f>+AI19/AI$5</f>
        <v>0</v>
      </c>
      <c r="AK19" s="63"/>
      <c r="AL19" s="152">
        <f>+AK19/AK$5</f>
        <v>0</v>
      </c>
      <c r="AM19" s="63"/>
      <c r="AN19" s="152">
        <f>+AM19/AM$5</f>
        <v>0</v>
      </c>
    </row>
    <row r="20" spans="2:40" ht="12.75" hidden="1">
      <c r="B20" s="62" t="s">
        <v>53</v>
      </c>
      <c r="C20" s="53" t="s">
        <v>254</v>
      </c>
      <c r="D20" s="17" t="s">
        <v>110</v>
      </c>
      <c r="E20" s="17"/>
      <c r="F20" s="17"/>
      <c r="G20" s="206">
        <f>AM20+AK20+AI20+AE20+AC20+AA20+W20+U20+S20+O20+M20+K20</f>
        <v>0</v>
      </c>
      <c r="H20" s="200">
        <f>+G20/G$5</f>
        <v>0</v>
      </c>
      <c r="I20" s="201">
        <f>O20+M20+K20</f>
        <v>0</v>
      </c>
      <c r="J20" s="200">
        <f>+I20/I$5</f>
        <v>0</v>
      </c>
      <c r="K20" s="63"/>
      <c r="L20" s="152" t="e">
        <f>+K20/K$5</f>
        <v>#DIV/0!</v>
      </c>
      <c r="M20" s="63"/>
      <c r="N20" s="152">
        <f>+M20/M$5</f>
        <v>0</v>
      </c>
      <c r="O20" s="63"/>
      <c r="P20" s="152">
        <f>+O20/O$5</f>
        <v>0</v>
      </c>
      <c r="Q20" s="201">
        <f>W20+U20+S20</f>
        <v>0</v>
      </c>
      <c r="R20" s="200">
        <f>+Q20/Q$5</f>
        <v>0</v>
      </c>
      <c r="S20" s="63"/>
      <c r="T20" s="152">
        <f>+S20/S$5</f>
        <v>0</v>
      </c>
      <c r="U20" s="63"/>
      <c r="V20" s="152">
        <f>+U20/U$5</f>
        <v>0</v>
      </c>
      <c r="W20" s="63"/>
      <c r="X20" s="152">
        <f>+W20/W$5</f>
        <v>0</v>
      </c>
      <c r="Y20" s="201">
        <f>AE20+AC20+AA20</f>
        <v>0</v>
      </c>
      <c r="Z20" s="200">
        <f>+Y20/Y$5</f>
        <v>0</v>
      </c>
      <c r="AA20" s="63"/>
      <c r="AB20" s="152">
        <f>+AA20/AA$5</f>
        <v>0</v>
      </c>
      <c r="AC20" s="63"/>
      <c r="AD20" s="152">
        <f>+AC20/AC$5</f>
        <v>0</v>
      </c>
      <c r="AE20" s="63"/>
      <c r="AF20" s="190">
        <f>+AE20/AE$5</f>
        <v>0</v>
      </c>
      <c r="AG20" s="201">
        <f>AM20+AK20+AI20</f>
        <v>0</v>
      </c>
      <c r="AH20" s="200">
        <f>+AG20/AG$5</f>
        <v>0</v>
      </c>
      <c r="AI20" s="63"/>
      <c r="AJ20" s="152">
        <f>+AI20/AI$5</f>
        <v>0</v>
      </c>
      <c r="AK20" s="63"/>
      <c r="AL20" s="152">
        <f>+AK20/AK$5</f>
        <v>0</v>
      </c>
      <c r="AM20" s="63"/>
      <c r="AN20" s="152">
        <f>+AM20/AM$5</f>
        <v>0</v>
      </c>
    </row>
    <row r="21" spans="2:40" ht="12.75" hidden="1">
      <c r="B21" s="62" t="s">
        <v>53</v>
      </c>
      <c r="C21" s="53" t="s">
        <v>271</v>
      </c>
      <c r="D21" s="17" t="s">
        <v>238</v>
      </c>
      <c r="E21" s="17"/>
      <c r="F21" s="17"/>
      <c r="G21" s="206">
        <f>AM21+AK21+AI21+AE21+AC21+AA21+W21+U21+S21+O21+M21+K21</f>
        <v>0</v>
      </c>
      <c r="H21" s="200">
        <f>+G21/G$5</f>
        <v>0</v>
      </c>
      <c r="I21" s="201">
        <f>O21+M21+K21</f>
        <v>0</v>
      </c>
      <c r="J21" s="200">
        <f>+I21/I$5</f>
        <v>0</v>
      </c>
      <c r="K21" s="63"/>
      <c r="L21" s="152" t="e">
        <f>+K21/K$5</f>
        <v>#DIV/0!</v>
      </c>
      <c r="M21" s="63"/>
      <c r="N21" s="152">
        <f>+M21/M$5</f>
        <v>0</v>
      </c>
      <c r="O21" s="63"/>
      <c r="P21" s="152">
        <f>+O21/O$5</f>
        <v>0</v>
      </c>
      <c r="Q21" s="201">
        <f>W21+U21+S21</f>
        <v>0</v>
      </c>
      <c r="R21" s="200">
        <f>+Q21/Q$5</f>
        <v>0</v>
      </c>
      <c r="S21" s="63"/>
      <c r="T21" s="152">
        <f>+S21/S$5</f>
        <v>0</v>
      </c>
      <c r="U21" s="63"/>
      <c r="V21" s="152">
        <f>+U21/U$5</f>
        <v>0</v>
      </c>
      <c r="W21" s="63"/>
      <c r="X21" s="152">
        <f>+W21/W$5</f>
        <v>0</v>
      </c>
      <c r="Y21" s="201">
        <f>AE21+AC21+AA21</f>
        <v>0</v>
      </c>
      <c r="Z21" s="200">
        <f>+Y21/Y$5</f>
        <v>0</v>
      </c>
      <c r="AA21" s="63"/>
      <c r="AB21" s="152">
        <f>+AA21/AA$5</f>
        <v>0</v>
      </c>
      <c r="AC21" s="63"/>
      <c r="AD21" s="152">
        <f>+AC21/AC$5</f>
        <v>0</v>
      </c>
      <c r="AE21" s="63"/>
      <c r="AF21" s="190">
        <f>+AE21/AE$5</f>
        <v>0</v>
      </c>
      <c r="AG21" s="201">
        <f>AM21+AK21+AI21</f>
        <v>0</v>
      </c>
      <c r="AH21" s="200">
        <f>+AG21/AG$5</f>
        <v>0</v>
      </c>
      <c r="AI21" s="63"/>
      <c r="AJ21" s="152">
        <f>+AI21/AI$5</f>
        <v>0</v>
      </c>
      <c r="AK21" s="63"/>
      <c r="AL21" s="152">
        <f>+AK21/AK$5</f>
        <v>0</v>
      </c>
      <c r="AM21" s="63"/>
      <c r="AN21" s="152">
        <f>+AM21/AM$5</f>
        <v>0</v>
      </c>
    </row>
    <row r="22" spans="2:40" ht="12.75" hidden="1">
      <c r="B22" s="62"/>
      <c r="C22" s="53"/>
      <c r="D22" s="17"/>
      <c r="E22" s="17"/>
      <c r="F22" s="17"/>
      <c r="G22" s="206"/>
      <c r="H22" s="200"/>
      <c r="I22" s="199"/>
      <c r="J22" s="200"/>
      <c r="K22" s="63"/>
      <c r="L22" s="152"/>
      <c r="M22" s="63"/>
      <c r="N22" s="152"/>
      <c r="O22" s="63"/>
      <c r="P22" s="152"/>
      <c r="Q22" s="199"/>
      <c r="R22" s="200"/>
      <c r="S22" s="63"/>
      <c r="T22" s="152"/>
      <c r="U22" s="63"/>
      <c r="V22" s="152"/>
      <c r="W22" s="63"/>
      <c r="X22" s="152"/>
      <c r="Y22" s="199"/>
      <c r="Z22" s="200"/>
      <c r="AA22" s="63"/>
      <c r="AB22" s="152"/>
      <c r="AC22" s="63"/>
      <c r="AD22" s="152"/>
      <c r="AE22" s="63"/>
      <c r="AF22" s="190"/>
      <c r="AG22" s="199"/>
      <c r="AH22" s="200"/>
      <c r="AI22" s="63"/>
      <c r="AJ22" s="152"/>
      <c r="AK22" s="63"/>
      <c r="AL22" s="152"/>
      <c r="AM22" s="63"/>
      <c r="AN22" s="152"/>
    </row>
    <row r="23" spans="2:40" ht="12.75">
      <c r="B23" s="68" t="s">
        <v>112</v>
      </c>
      <c r="C23" s="50" t="s">
        <v>210</v>
      </c>
      <c r="D23" s="50"/>
      <c r="E23" s="50"/>
      <c r="F23" s="50"/>
      <c r="G23" s="197">
        <f>G7+G18</f>
        <v>6385803.2299999995</v>
      </c>
      <c r="H23" s="198">
        <f>+G23/G$5</f>
        <v>1</v>
      </c>
      <c r="I23" s="197">
        <f>I7+I18</f>
        <v>1258896.43</v>
      </c>
      <c r="J23" s="198">
        <f>+I23/I$5</f>
        <v>1</v>
      </c>
      <c r="K23" s="64">
        <f>K7+K18</f>
        <v>0</v>
      </c>
      <c r="L23" s="151" t="e">
        <f>+K23/K$5</f>
        <v>#DIV/0!</v>
      </c>
      <c r="M23" s="64">
        <f>M7+M18</f>
        <v>639166.85</v>
      </c>
      <c r="N23" s="151">
        <f>+M23/M$5</f>
        <v>1</v>
      </c>
      <c r="O23" s="64">
        <f>O7+O18</f>
        <v>619729.5800000001</v>
      </c>
      <c r="P23" s="151">
        <f>+O23/O$5</f>
        <v>1</v>
      </c>
      <c r="Q23" s="197">
        <f>Q7+Q18</f>
        <v>1632112.5499999998</v>
      </c>
      <c r="R23" s="198">
        <f>+Q23/Q$5</f>
        <v>1</v>
      </c>
      <c r="S23" s="64">
        <f>S7+S18</f>
        <v>538154.6</v>
      </c>
      <c r="T23" s="151">
        <f>+S23/S$5</f>
        <v>1</v>
      </c>
      <c r="U23" s="64">
        <f>U7+U18</f>
        <v>570024.1</v>
      </c>
      <c r="V23" s="151">
        <f>+U23/U$5</f>
        <v>1</v>
      </c>
      <c r="W23" s="64">
        <f>W7+W18</f>
        <v>523933.85</v>
      </c>
      <c r="X23" s="151">
        <f>+W23/W$5</f>
        <v>1</v>
      </c>
      <c r="Y23" s="197">
        <f>Y7+Y18</f>
        <v>1596674.5499999998</v>
      </c>
      <c r="Z23" s="198">
        <f>+Y23/Y$5</f>
        <v>1</v>
      </c>
      <c r="AA23" s="64">
        <f>AA7+AA18</f>
        <v>523712.85</v>
      </c>
      <c r="AB23" s="151">
        <f>+AA23/AA$5</f>
        <v>1</v>
      </c>
      <c r="AC23" s="64">
        <f>AC7+AC18</f>
        <v>531979.85</v>
      </c>
      <c r="AD23" s="151">
        <f>+AC23/AC$5</f>
        <v>1</v>
      </c>
      <c r="AE23" s="64">
        <f>AE7+AE18</f>
        <v>540981.85</v>
      </c>
      <c r="AF23" s="188">
        <f>+AE23/AE$5</f>
        <v>1</v>
      </c>
      <c r="AG23" s="197">
        <f>AG7+AG18</f>
        <v>1898119.7000000002</v>
      </c>
      <c r="AH23" s="198">
        <f>+AG23/AG$5</f>
        <v>1</v>
      </c>
      <c r="AI23" s="64">
        <f>AI7+AI18</f>
        <v>605584.43</v>
      </c>
      <c r="AJ23" s="151">
        <f>+AI23/AI$5</f>
        <v>1</v>
      </c>
      <c r="AK23" s="64">
        <f>AK7+AK18</f>
        <v>678613.6599999999</v>
      </c>
      <c r="AL23" s="151">
        <f>+AK23/AK$5</f>
        <v>1</v>
      </c>
      <c r="AM23" s="64">
        <f>AM7+AM18</f>
        <v>613921.61</v>
      </c>
      <c r="AN23" s="151">
        <f>+AM23/AM$5</f>
        <v>1</v>
      </c>
    </row>
    <row r="24" spans="2:40" ht="12.75">
      <c r="B24" s="62"/>
      <c r="C24" s="53"/>
      <c r="D24" s="17"/>
      <c r="E24" s="17"/>
      <c r="F24" s="17"/>
      <c r="G24" s="197"/>
      <c r="H24" s="200"/>
      <c r="I24" s="202"/>
      <c r="J24" s="200"/>
      <c r="K24" s="64"/>
      <c r="L24" s="152"/>
      <c r="M24" s="64"/>
      <c r="N24" s="152"/>
      <c r="O24" s="64"/>
      <c r="P24" s="152"/>
      <c r="Q24" s="202"/>
      <c r="R24" s="200"/>
      <c r="S24" s="64"/>
      <c r="T24" s="152"/>
      <c r="U24" s="64"/>
      <c r="V24" s="152"/>
      <c r="W24" s="64"/>
      <c r="X24" s="152"/>
      <c r="Y24" s="202"/>
      <c r="Z24" s="200"/>
      <c r="AA24" s="64"/>
      <c r="AB24" s="152"/>
      <c r="AC24" s="64"/>
      <c r="AD24" s="152"/>
      <c r="AE24" s="64"/>
      <c r="AF24" s="190"/>
      <c r="AG24" s="202"/>
      <c r="AH24" s="200"/>
      <c r="AI24" s="64"/>
      <c r="AJ24" s="152"/>
      <c r="AK24" s="64"/>
      <c r="AL24" s="152"/>
      <c r="AM24" s="64"/>
      <c r="AN24" s="152"/>
    </row>
    <row r="25" spans="2:40" ht="12.75">
      <c r="B25" s="146"/>
      <c r="C25" s="147" t="s">
        <v>29</v>
      </c>
      <c r="D25" s="147"/>
      <c r="E25" s="147"/>
      <c r="F25" s="147"/>
      <c r="G25" s="256">
        <f>G27+G32+G46</f>
        <v>-5002262.92</v>
      </c>
      <c r="H25" s="257">
        <f>+G25/G5</f>
        <v>-0.783341224248778</v>
      </c>
      <c r="I25" s="193">
        <f>I27+I32+I46</f>
        <v>-1040527.88</v>
      </c>
      <c r="J25" s="203">
        <f>+I25/I5</f>
        <v>-0.8265397019197204</v>
      </c>
      <c r="K25" s="185">
        <f>K27+K32+K46</f>
        <v>0</v>
      </c>
      <c r="L25" s="168" t="e">
        <f>+K25/K5</f>
        <v>#DIV/0!</v>
      </c>
      <c r="M25" s="185">
        <f>M27+M32+M46</f>
        <v>-547825.74</v>
      </c>
      <c r="N25" s="168">
        <f>+M25/M5</f>
        <v>-0.8570934803643212</v>
      </c>
      <c r="O25" s="185">
        <f>O27+O32+O46</f>
        <v>-492702.13999999996</v>
      </c>
      <c r="P25" s="168">
        <f>+O25/O5</f>
        <v>-0.7950276312452278</v>
      </c>
      <c r="Q25" s="193">
        <f>Q27+Q32+Q46</f>
        <v>-1126913.59</v>
      </c>
      <c r="R25" s="203">
        <f>+Q25/Q5</f>
        <v>-0.6904631607667009</v>
      </c>
      <c r="S25" s="185">
        <f>S27+S32+S46</f>
        <v>-400068.63999999996</v>
      </c>
      <c r="T25" s="168">
        <f>+S25/S5</f>
        <v>-0.743408381160358</v>
      </c>
      <c r="U25" s="185">
        <f>U27+U32+U46</f>
        <v>-415265.57000000007</v>
      </c>
      <c r="V25" s="168">
        <f>+U25/U5</f>
        <v>-0.7285052860045743</v>
      </c>
      <c r="W25" s="185">
        <f>W27+W32+W46</f>
        <v>-311579.38</v>
      </c>
      <c r="X25" s="168">
        <f>+W25/W5</f>
        <v>-0.5946922116217535</v>
      </c>
      <c r="Y25" s="193">
        <f>Y27+Y32+Y46</f>
        <v>-1128111.65</v>
      </c>
      <c r="Z25" s="203">
        <f>+Y25/Y5</f>
        <v>-0.7065382547745876</v>
      </c>
      <c r="AA25" s="185">
        <f>AA27+AA32+AA46</f>
        <v>-265938.77</v>
      </c>
      <c r="AB25" s="168">
        <f>+AA25/AA5</f>
        <v>-0.5077950063665614</v>
      </c>
      <c r="AC25" s="185">
        <f>AC27+AC32+AC46</f>
        <v>-414428.48</v>
      </c>
      <c r="AD25" s="168">
        <f>+AC25/AC5</f>
        <v>-0.7790304087645424</v>
      </c>
      <c r="AE25" s="185">
        <f>AE27+AE32+AE46</f>
        <v>-447744.4</v>
      </c>
      <c r="AF25" s="168">
        <f>+AE25/AE5</f>
        <v>-0.8276514267530418</v>
      </c>
      <c r="AG25" s="193">
        <f>AG27+AG32+AG46</f>
        <v>-1706709.7999999998</v>
      </c>
      <c r="AH25" s="203">
        <f>+AG25/AG5</f>
        <v>-0.8991581510902603</v>
      </c>
      <c r="AI25" s="67">
        <f>AI27+AI32+AI46</f>
        <v>-443225.86000000004</v>
      </c>
      <c r="AJ25" s="168">
        <f>+AI25/AI5</f>
        <v>-0.7318977140809251</v>
      </c>
      <c r="AK25" s="67">
        <f>AK27+AK32+AK46</f>
        <v>-653938.9799999999</v>
      </c>
      <c r="AL25" s="168">
        <f>+AK25/AK5</f>
        <v>-0.9636395766038661</v>
      </c>
      <c r="AM25" s="67">
        <f>AM27+AM32+AM46</f>
        <v>-609544.96</v>
      </c>
      <c r="AN25" s="168">
        <f>+AM25/AM5</f>
        <v>-0.9928709953702395</v>
      </c>
    </row>
    <row r="26" spans="2:40" ht="7.5" customHeight="1">
      <c r="B26" s="62"/>
      <c r="C26" s="17"/>
      <c r="D26" s="17"/>
      <c r="E26" s="17"/>
      <c r="F26" s="17"/>
      <c r="G26" s="197"/>
      <c r="H26" s="198"/>
      <c r="I26" s="204"/>
      <c r="J26" s="205"/>
      <c r="K26" s="64"/>
      <c r="L26" s="137"/>
      <c r="M26" s="64"/>
      <c r="N26" s="137"/>
      <c r="O26" s="64"/>
      <c r="P26" s="137"/>
      <c r="Q26" s="204"/>
      <c r="R26" s="205"/>
      <c r="S26" s="64"/>
      <c r="T26" s="137"/>
      <c r="U26" s="64"/>
      <c r="V26" s="137"/>
      <c r="W26" s="64"/>
      <c r="X26" s="137"/>
      <c r="Y26" s="204"/>
      <c r="Z26" s="205"/>
      <c r="AA26" s="64"/>
      <c r="AB26" s="137"/>
      <c r="AC26" s="64"/>
      <c r="AD26" s="137"/>
      <c r="AE26" s="64"/>
      <c r="AF26" s="137"/>
      <c r="AG26" s="204"/>
      <c r="AH26" s="205"/>
      <c r="AI26" s="64"/>
      <c r="AJ26" s="137"/>
      <c r="AK26" s="64"/>
      <c r="AL26" s="137"/>
      <c r="AM26" s="64"/>
      <c r="AN26" s="137"/>
    </row>
    <row r="27" spans="2:40" ht="12.75">
      <c r="B27" s="62" t="s">
        <v>53</v>
      </c>
      <c r="C27" s="50" t="s">
        <v>35</v>
      </c>
      <c r="D27" s="50"/>
      <c r="E27" s="50"/>
      <c r="F27" s="50"/>
      <c r="G27" s="197">
        <f>G28+G29+G30</f>
        <v>-2326289.9899999998</v>
      </c>
      <c r="H27" s="198">
        <f>+G27/G5</f>
        <v>-0.3642908975132953</v>
      </c>
      <c r="I27" s="197">
        <f>I28+I29+I30</f>
        <v>-536617.1599999999</v>
      </c>
      <c r="J27" s="205">
        <f>+I27/I5</f>
        <v>-0.4262599743808948</v>
      </c>
      <c r="K27" s="64">
        <f>K28+K29+K30</f>
        <v>0</v>
      </c>
      <c r="L27" s="137" t="e">
        <f>+K27/K5</f>
        <v>#DIV/0!</v>
      </c>
      <c r="M27" s="64">
        <f>M28+M29+M30</f>
        <v>-274517.79000000004</v>
      </c>
      <c r="N27" s="137">
        <f>+M27/M5</f>
        <v>-0.4294931597281681</v>
      </c>
      <c r="O27" s="171">
        <f>O28+O29+O30</f>
        <v>-262099.36999999997</v>
      </c>
      <c r="P27" s="137">
        <f>+O27/O5</f>
        <v>-0.4229253830356136</v>
      </c>
      <c r="Q27" s="197">
        <f>Q28+Q29+Q30</f>
        <v>-606977.53</v>
      </c>
      <c r="R27" s="205">
        <f>+Q27/Q5</f>
        <v>-0.3718968584611399</v>
      </c>
      <c r="S27" s="171">
        <f>S28+S29+S30</f>
        <v>-262720.19</v>
      </c>
      <c r="T27" s="137">
        <f>+S27/S5</f>
        <v>-0.48818720494073636</v>
      </c>
      <c r="U27" s="64">
        <f>U28+U29+U30</f>
        <v>-219102.39</v>
      </c>
      <c r="V27" s="137">
        <f>+U27/U5</f>
        <v>-0.38437390629624263</v>
      </c>
      <c r="W27" s="64">
        <f>W28+W29+W30</f>
        <v>-125154.95</v>
      </c>
      <c r="X27" s="137">
        <f>+W27/W5</f>
        <v>-0.23887548017750715</v>
      </c>
      <c r="Y27" s="197">
        <f>Y28+Y29+Y30</f>
        <v>-413278.57</v>
      </c>
      <c r="Z27" s="205">
        <f>+Y27/Y5</f>
        <v>-0.2588370748440877</v>
      </c>
      <c r="AA27" s="64">
        <f>AA28+AA29+AA30</f>
        <v>-136377.6</v>
      </c>
      <c r="AB27" s="137">
        <f>+AA27/AA5</f>
        <v>-0.2604052965284316</v>
      </c>
      <c r="AC27" s="64">
        <f>AC28+AC29+AC30</f>
        <v>-132561.75999999998</v>
      </c>
      <c r="AD27" s="137">
        <f>+AC27/AC5</f>
        <v>-0.2491856787432832</v>
      </c>
      <c r="AE27" s="64">
        <f>AE28+AE29+AE30</f>
        <v>-144339.21000000002</v>
      </c>
      <c r="AF27" s="137">
        <f>+AE27/AE5</f>
        <v>-0.2668097090503129</v>
      </c>
      <c r="AG27" s="197">
        <f>AG28+AG29+AG30</f>
        <v>-769416.73</v>
      </c>
      <c r="AH27" s="205">
        <f>+AG27/AG5</f>
        <v>-0.4053573280968529</v>
      </c>
      <c r="AI27" s="64">
        <f>AI28+AI29+AI30</f>
        <v>-227217.61</v>
      </c>
      <c r="AJ27" s="137">
        <f>+AI27/AI5</f>
        <v>-0.37520385060098055</v>
      </c>
      <c r="AK27" s="64">
        <f>AK28+AK29+AK30</f>
        <v>-283480.91</v>
      </c>
      <c r="AL27" s="137">
        <f>+AK27/AK5</f>
        <v>-0.4177353429637712</v>
      </c>
      <c r="AM27" s="64">
        <f>AM28+AM29+AM30</f>
        <v>-258718.21000000002</v>
      </c>
      <c r="AN27" s="137">
        <f>+AM27/AM5</f>
        <v>-0.42141896585135685</v>
      </c>
    </row>
    <row r="28" spans="2:40" ht="12.75">
      <c r="B28" s="62" t="s">
        <v>53</v>
      </c>
      <c r="C28" s="53" t="s">
        <v>36</v>
      </c>
      <c r="D28" s="17" t="s">
        <v>133</v>
      </c>
      <c r="E28" s="17"/>
      <c r="F28" s="17"/>
      <c r="G28" s="206">
        <f>AM28+AK28+AI28+AE28+AC28+AA28+W28+U28+S28+O28+M28+K28</f>
        <v>-1561175.3699999999</v>
      </c>
      <c r="H28" s="200">
        <f>+G28/G$5</f>
        <v>-0.24447595921304327</v>
      </c>
      <c r="I28" s="206">
        <f>O28+M28+K28</f>
        <v>-362482.68</v>
      </c>
      <c r="J28" s="207">
        <f>+I28/I$5</f>
        <v>-0.28793685593341467</v>
      </c>
      <c r="K28" s="63"/>
      <c r="L28" s="136" t="e">
        <f>+K28/K$5</f>
        <v>#DIV/0!</v>
      </c>
      <c r="M28" s="63">
        <f>-198798.06+756.02</f>
        <v>-198042.04</v>
      </c>
      <c r="N28" s="136">
        <f>+M28/M$5</f>
        <v>-0.3098440415049686</v>
      </c>
      <c r="O28" s="63">
        <f>-165038.02+597.38</f>
        <v>-164440.63999999998</v>
      </c>
      <c r="P28" s="136">
        <f>+O28/O$5</f>
        <v>-0.2653425708677646</v>
      </c>
      <c r="Q28" s="206">
        <f>W28+U28+S28</f>
        <v>-422811.13</v>
      </c>
      <c r="R28" s="207">
        <f>+Q28/Q$5</f>
        <v>-0.2590575815374988</v>
      </c>
      <c r="S28" s="63">
        <f>-190966.06+679.79</f>
        <v>-190286.27</v>
      </c>
      <c r="T28" s="136">
        <f>+S28/S$5</f>
        <v>-0.353590343741371</v>
      </c>
      <c r="U28" s="63">
        <f>-145525.04+499.56</f>
        <v>-145025.48</v>
      </c>
      <c r="V28" s="136">
        <f>+U28/U$5</f>
        <v>-0.2544199096143479</v>
      </c>
      <c r="W28" s="63">
        <f>-87505.61+6.23</f>
        <v>-87499.38</v>
      </c>
      <c r="X28" s="136">
        <f>+W28/W$5</f>
        <v>-0.16700463235960036</v>
      </c>
      <c r="Y28" s="206">
        <f>AE28+AC28+AA28</f>
        <v>-279725.9</v>
      </c>
      <c r="Z28" s="207">
        <f>+Y28/Y$5</f>
        <v>-0.17519280932986628</v>
      </c>
      <c r="AA28" s="63">
        <f>-92280.69+206.32</f>
        <v>-92074.37</v>
      </c>
      <c r="AB28" s="136">
        <f>+AA28/AA$5</f>
        <v>-0.1758107902068853</v>
      </c>
      <c r="AC28" s="63">
        <f>-97035.29+2540.27</f>
        <v>-94495.01999999999</v>
      </c>
      <c r="AD28" s="136">
        <f>+AC28/AC$5</f>
        <v>-0.17762894590838355</v>
      </c>
      <c r="AE28" s="63">
        <f>-93378.16+221.65</f>
        <v>-93156.51000000001</v>
      </c>
      <c r="AF28" s="136">
        <f>+AE28/AE$5</f>
        <v>-0.17219895639752056</v>
      </c>
      <c r="AG28" s="206">
        <f>AM28+AK28+AI28</f>
        <v>-496155.66</v>
      </c>
      <c r="AH28" s="207">
        <f>+AG28/AG$5</f>
        <v>-0.2613932409004553</v>
      </c>
      <c r="AI28" s="63">
        <f>-121913.15+0.67</f>
        <v>-121912.48</v>
      </c>
      <c r="AJ28" s="136">
        <f>+AI28/AI$5</f>
        <v>-0.20131376231056664</v>
      </c>
      <c r="AK28" s="63">
        <f>-197885.41+1462.67</f>
        <v>-196422.74</v>
      </c>
      <c r="AL28" s="136">
        <f>+AK28/AK$5</f>
        <v>-0.2894470765589953</v>
      </c>
      <c r="AM28" s="63">
        <v>-177820.44</v>
      </c>
      <c r="AN28" s="136">
        <f>+AM28/AM$5</f>
        <v>-0.28964681663510755</v>
      </c>
    </row>
    <row r="29" spans="2:40" ht="12" customHeight="1">
      <c r="B29" s="62" t="s">
        <v>53</v>
      </c>
      <c r="C29" s="53" t="s">
        <v>113</v>
      </c>
      <c r="D29" s="17" t="s">
        <v>114</v>
      </c>
      <c r="E29" s="17"/>
      <c r="F29" s="17"/>
      <c r="G29" s="206">
        <f>AM29+AK29+AI29+AE29+AC29+AA29+W29+U29+S29+O29+M29+K29</f>
        <v>-568583.2200000001</v>
      </c>
      <c r="H29" s="200">
        <f>+G29/G$5</f>
        <v>-0.08903863766563319</v>
      </c>
      <c r="I29" s="206">
        <f>O29+M29+K29</f>
        <v>-149811.65999999997</v>
      </c>
      <c r="J29" s="207">
        <f>+I29/I$5</f>
        <v>-0.11900237098932752</v>
      </c>
      <c r="K29" s="63"/>
      <c r="L29" s="136" t="e">
        <f>+K29/K$5</f>
        <v>#DIV/0!</v>
      </c>
      <c r="M29" s="63">
        <f>-66551.42+2741.81</f>
        <v>-63809.61</v>
      </c>
      <c r="N29" s="136">
        <f>+M29/M$5</f>
        <v>-0.09983247723188397</v>
      </c>
      <c r="O29" s="63">
        <f>-89236.51+3234.46</f>
        <v>-86002.04999999999</v>
      </c>
      <c r="P29" s="136">
        <f>+O29/O$5</f>
        <v>-0.13877351150480824</v>
      </c>
      <c r="Q29" s="206">
        <f>W29+U29+S29</f>
        <v>-138884.13</v>
      </c>
      <c r="R29" s="207">
        <f>+Q29/Q$5</f>
        <v>-0.08509470134274748</v>
      </c>
      <c r="S29" s="63">
        <f>-62625.9+2698.46</f>
        <v>-59927.44</v>
      </c>
      <c r="T29" s="136">
        <f>+S29/S$5</f>
        <v>-0.1113572939820639</v>
      </c>
      <c r="U29" s="63">
        <v>-50016.02</v>
      </c>
      <c r="V29" s="136">
        <f>+U29/U$5</f>
        <v>-0.08774369364383014</v>
      </c>
      <c r="W29" s="63">
        <v>-28940.67</v>
      </c>
      <c r="X29" s="136">
        <f>+W29/W$5</f>
        <v>-0.05523725943647275</v>
      </c>
      <c r="Y29" s="206">
        <f>AE29+AC29+AA29</f>
        <v>-99026.56</v>
      </c>
      <c r="Z29" s="207">
        <f>+Y29/Y$5</f>
        <v>-0.062020503802731754</v>
      </c>
      <c r="AA29" s="63">
        <v>-35696.25</v>
      </c>
      <c r="AB29" s="136">
        <f>+AA29/AA$5</f>
        <v>-0.06815996590498019</v>
      </c>
      <c r="AC29" s="63">
        <v>-26405.98</v>
      </c>
      <c r="AD29" s="136">
        <f>+AC29/AC$5</f>
        <v>-0.04963718080675424</v>
      </c>
      <c r="AE29" s="63">
        <v>-36924.33</v>
      </c>
      <c r="AF29" s="136">
        <f>+AE29/AE$5</f>
        <v>-0.06825428616505341</v>
      </c>
      <c r="AG29" s="206">
        <f>AM29+AK29+AI29</f>
        <v>-180860.87</v>
      </c>
      <c r="AH29" s="207">
        <f>+AG29/AG$5</f>
        <v>-0.09528422785981304</v>
      </c>
      <c r="AI29" s="63">
        <f>-45788.26+0.01</f>
        <v>-45788.25</v>
      </c>
      <c r="AJ29" s="136">
        <f>+AI29/AI$5</f>
        <v>-0.07561001857329785</v>
      </c>
      <c r="AK29" s="63">
        <v>-70866.61</v>
      </c>
      <c r="AL29" s="136">
        <f>+AK29/AK$5</f>
        <v>-0.10442850502007285</v>
      </c>
      <c r="AM29" s="63">
        <v>-64206.01</v>
      </c>
      <c r="AN29" s="136">
        <f>+AM29/AM$5</f>
        <v>-0.1045834011283623</v>
      </c>
    </row>
    <row r="30" spans="2:40" ht="12" customHeight="1">
      <c r="B30" s="62" t="s">
        <v>53</v>
      </c>
      <c r="C30" s="53" t="s">
        <v>206</v>
      </c>
      <c r="D30" s="17" t="s">
        <v>211</v>
      </c>
      <c r="E30" s="17"/>
      <c r="F30" s="17"/>
      <c r="G30" s="206">
        <f>AM30+AK30+AI30+AE30+AC30+AA30+W30+U30+S30+O30+M30+K30</f>
        <v>-196531.4</v>
      </c>
      <c r="H30" s="200">
        <f>+G30/G$5</f>
        <v>-0.030776300634618836</v>
      </c>
      <c r="I30" s="206">
        <f>O30+M30+K30</f>
        <v>-24322.82</v>
      </c>
      <c r="J30" s="207">
        <f>+I30/I$5</f>
        <v>-0.019320747458152696</v>
      </c>
      <c r="K30" s="63"/>
      <c r="L30" s="136" t="e">
        <f>+K30/K$5</f>
        <v>#DIV/0!</v>
      </c>
      <c r="M30" s="63">
        <f>-24335.04+11668.9</f>
        <v>-12666.140000000001</v>
      </c>
      <c r="N30" s="136">
        <f>+M30/M$5</f>
        <v>-0.019816640991315495</v>
      </c>
      <c r="O30" s="63">
        <f>-23433.73+11777.05</f>
        <v>-11656.68</v>
      </c>
      <c r="P30" s="136">
        <f>+O30/O$5</f>
        <v>-0.018809300663040804</v>
      </c>
      <c r="Q30" s="206">
        <f>W30+U30+S30</f>
        <v>-45282.270000000004</v>
      </c>
      <c r="R30" s="207">
        <f>+Q30/Q$5</f>
        <v>-0.027744575580893615</v>
      </c>
      <c r="S30" s="63">
        <f>-12536.5+30.02</f>
        <v>-12506.48</v>
      </c>
      <c r="T30" s="136">
        <f>+S30/S$5</f>
        <v>-0.023239567217301495</v>
      </c>
      <c r="U30" s="63">
        <v>-24060.89</v>
      </c>
      <c r="V30" s="136">
        <f>+U30/U$5</f>
        <v>-0.04221030303806453</v>
      </c>
      <c r="W30" s="63">
        <v>-8714.9</v>
      </c>
      <c r="X30" s="136">
        <f>+W30/W$5</f>
        <v>-0.01663358838143403</v>
      </c>
      <c r="Y30" s="206">
        <f>AE30+AC30+AA30</f>
        <v>-34526.11</v>
      </c>
      <c r="Z30" s="207">
        <f>+Y30/Y$5</f>
        <v>-0.021623761711489674</v>
      </c>
      <c r="AA30" s="63">
        <v>-8606.98</v>
      </c>
      <c r="AB30" s="136">
        <f>+AA30/AA$5</f>
        <v>-0.016434540416566064</v>
      </c>
      <c r="AC30" s="63">
        <f>-12260.76+600</f>
        <v>-11660.76</v>
      </c>
      <c r="AD30" s="136">
        <f>+AC30/AC$5</f>
        <v>-0.02191955202814543</v>
      </c>
      <c r="AE30" s="63">
        <v>-14258.37</v>
      </c>
      <c r="AF30" s="136">
        <f>+AE30/AE$5</f>
        <v>-0.026356466487738917</v>
      </c>
      <c r="AG30" s="206">
        <f>AM30+AK30+AI30</f>
        <v>-92400.2</v>
      </c>
      <c r="AH30" s="207">
        <f>+AG30/AG$5</f>
        <v>-0.04867985933658451</v>
      </c>
      <c r="AI30" s="63">
        <v>-59516.88</v>
      </c>
      <c r="AJ30" s="136">
        <f>+AI30/AI$5</f>
        <v>-0.09828006971711606</v>
      </c>
      <c r="AK30" s="63">
        <v>-16191.56</v>
      </c>
      <c r="AL30" s="136">
        <f>+AK30/AK$5</f>
        <v>-0.023859761384703044</v>
      </c>
      <c r="AM30" s="63">
        <v>-16691.76</v>
      </c>
      <c r="AN30" s="136">
        <f>+AM30/AM$5</f>
        <v>-0.027188748087886985</v>
      </c>
    </row>
    <row r="31" spans="2:40" ht="10.5" customHeight="1">
      <c r="B31" s="62"/>
      <c r="C31" s="17"/>
      <c r="D31" s="17"/>
      <c r="E31" s="17"/>
      <c r="F31" s="17"/>
      <c r="G31" s="197"/>
      <c r="H31" s="198"/>
      <c r="I31" s="204"/>
      <c r="J31" s="205"/>
      <c r="K31" s="64"/>
      <c r="L31" s="137"/>
      <c r="M31" s="64"/>
      <c r="N31" s="137"/>
      <c r="O31" s="64"/>
      <c r="P31" s="137"/>
      <c r="Q31" s="204"/>
      <c r="R31" s="205"/>
      <c r="S31" s="64"/>
      <c r="T31" s="137"/>
      <c r="U31" s="64"/>
      <c r="V31" s="137"/>
      <c r="W31" s="64"/>
      <c r="X31" s="137"/>
      <c r="Y31" s="204"/>
      <c r="Z31" s="205"/>
      <c r="AA31" s="64"/>
      <c r="AB31" s="137"/>
      <c r="AC31" s="64"/>
      <c r="AD31" s="137"/>
      <c r="AE31" s="64"/>
      <c r="AF31" s="137"/>
      <c r="AG31" s="204"/>
      <c r="AH31" s="205"/>
      <c r="AI31" s="64"/>
      <c r="AJ31" s="137"/>
      <c r="AK31" s="64"/>
      <c r="AL31" s="137"/>
      <c r="AM31" s="64"/>
      <c r="AN31" s="137"/>
    </row>
    <row r="32" spans="2:40" ht="12.75">
      <c r="B32" s="62" t="s">
        <v>53</v>
      </c>
      <c r="C32" s="50" t="s">
        <v>212</v>
      </c>
      <c r="D32" s="50"/>
      <c r="E32" s="50"/>
      <c r="F32" s="50"/>
      <c r="G32" s="197">
        <f>SUM(G33:G44)</f>
        <v>-2458062.94</v>
      </c>
      <c r="H32" s="198">
        <f aca="true" t="shared" si="21" ref="H32:H44">+G32/G$5</f>
        <v>-0.38492619510294557</v>
      </c>
      <c r="I32" s="197">
        <f>SUM(I33:I44)</f>
        <v>-481383.7100000001</v>
      </c>
      <c r="J32" s="205">
        <f>+I32/I$5</f>
        <v>-0.3823854755073061</v>
      </c>
      <c r="K32" s="64">
        <f>SUM(K33:K44)</f>
        <v>0</v>
      </c>
      <c r="L32" s="137" t="e">
        <f>+K32/K$5</f>
        <v>#DIV/0!</v>
      </c>
      <c r="M32" s="64">
        <f>SUM(M33:M44)</f>
        <v>-262215.5</v>
      </c>
      <c r="N32" s="137">
        <f>+M32/M$5</f>
        <v>-0.41024577541842167</v>
      </c>
      <c r="O32" s="64">
        <f>SUM(O33:O44)</f>
        <v>-219168.21</v>
      </c>
      <c r="P32" s="137">
        <f>+O32/O$5</f>
        <v>-0.3536513619375728</v>
      </c>
      <c r="Q32" s="197">
        <f>SUM(Q33:Q44)</f>
        <v>-481815.32</v>
      </c>
      <c r="R32" s="205">
        <f>+Q32/Q$5</f>
        <v>-0.2952096165181746</v>
      </c>
      <c r="S32" s="64">
        <f>SUM(S33:S44)</f>
        <v>-128955.34999999999</v>
      </c>
      <c r="T32" s="137">
        <f>+S32/S$5</f>
        <v>-0.23962510029645756</v>
      </c>
      <c r="U32" s="64">
        <f>SUM(U33:U44)</f>
        <v>-182948.66</v>
      </c>
      <c r="V32" s="137">
        <f aca="true" t="shared" si="22" ref="V32:V44">+U32/U$5</f>
        <v>-0.3209489914549227</v>
      </c>
      <c r="W32" s="64">
        <f>SUM(W33:W44)</f>
        <v>-169911.31</v>
      </c>
      <c r="X32" s="137">
        <f aca="true" t="shared" si="23" ref="X32:X44">+W32/W$5</f>
        <v>-0.32429916486594634</v>
      </c>
      <c r="Y32" s="197">
        <f>SUM(Y33:Y44)</f>
        <v>-610195.64</v>
      </c>
      <c r="Z32" s="205">
        <f>+Y32/Y$5</f>
        <v>-0.38216657239260193</v>
      </c>
      <c r="AA32" s="64">
        <f>SUM(AA33:AA44)</f>
        <v>-112876.78</v>
      </c>
      <c r="AB32" s="137">
        <f>+AA32/AA$5</f>
        <v>-0.21553181290090553</v>
      </c>
      <c r="AC32" s="64">
        <f>SUM(AC33:AC44)</f>
        <v>-207737.22999999998</v>
      </c>
      <c r="AD32" s="137">
        <f aca="true" t="shared" si="24" ref="AD32:AD44">+AC32/AC$5</f>
        <v>-0.3904983055279255</v>
      </c>
      <c r="AE32" s="64">
        <f>SUM(AE33:AE44)</f>
        <v>-289581.63</v>
      </c>
      <c r="AF32" s="137">
        <f>+AE32/AE$5</f>
        <v>-0.5352889935216866</v>
      </c>
      <c r="AG32" s="197">
        <f>SUM(AG33:AG44)</f>
        <v>-884668.2699999998</v>
      </c>
      <c r="AH32" s="205">
        <f>+AG32/AG$5</f>
        <v>-0.46607612259648307</v>
      </c>
      <c r="AI32" s="64">
        <f>SUM(AI33:AI44)</f>
        <v>-200701.04</v>
      </c>
      <c r="AJ32" s="137">
        <f>+AI32/AI$5</f>
        <v>-0.33141710727272167</v>
      </c>
      <c r="AK32" s="64">
        <f>SUM(AK33:AK44)</f>
        <v>-344649.44999999995</v>
      </c>
      <c r="AL32" s="137">
        <f>+AK32/AK$5</f>
        <v>-0.5078728447641327</v>
      </c>
      <c r="AM32" s="64">
        <f>SUM(AM33:AM44)</f>
        <v>-339317.77999999997</v>
      </c>
      <c r="AN32" s="137">
        <f>+AM32/AM$5</f>
        <v>-0.5527053853015533</v>
      </c>
    </row>
    <row r="33" spans="2:40" ht="12.75">
      <c r="B33" s="62" t="s">
        <v>53</v>
      </c>
      <c r="C33" s="53" t="s">
        <v>213</v>
      </c>
      <c r="D33" s="17" t="s">
        <v>214</v>
      </c>
      <c r="E33" s="17"/>
      <c r="F33" s="17"/>
      <c r="G33" s="206">
        <f>AM33+AK33+AI33+AE33+AC33+AA33+W33+U33+S33+O33+M33+K33</f>
        <v>-825339.87</v>
      </c>
      <c r="H33" s="200">
        <f>+G33/G$5</f>
        <v>-0.12924605414125798</v>
      </c>
      <c r="I33" s="208">
        <f>O33+M33+K33</f>
        <v>-124666.84</v>
      </c>
      <c r="J33" s="207">
        <f aca="true" t="shared" si="25" ref="J33:J44">+I33/I$5</f>
        <v>-0.09902867069056666</v>
      </c>
      <c r="K33" s="63"/>
      <c r="L33" s="136" t="e">
        <f aca="true" t="shared" si="26" ref="L33:L44">+K33/K$5</f>
        <v>#DIV/0!</v>
      </c>
      <c r="M33" s="63">
        <v>-41799.88</v>
      </c>
      <c r="N33" s="136">
        <f aca="true" t="shared" si="27" ref="N33:N44">+M33/M$5</f>
        <v>-0.06539744669173628</v>
      </c>
      <c r="O33" s="63">
        <f>-82866.96</f>
        <v>-82866.96</v>
      </c>
      <c r="P33" s="136">
        <f aca="true" t="shared" si="28" ref="P33:P44">+O33/O$5</f>
        <v>-0.13371470827647117</v>
      </c>
      <c r="Q33" s="208">
        <f>W33+U33+S33</f>
        <v>-141978.56</v>
      </c>
      <c r="R33" s="207">
        <f aca="true" t="shared" si="29" ref="R33:R44">+Q33/Q$5</f>
        <v>-0.08699066740219602</v>
      </c>
      <c r="S33" s="63">
        <f>-48279.05-S34</f>
        <v>-48279.05</v>
      </c>
      <c r="T33" s="136">
        <f aca="true" t="shared" si="30" ref="T33:T44">+S33/S$5</f>
        <v>-0.08971223139224306</v>
      </c>
      <c r="U33" s="63">
        <f>-64559.63-U34</f>
        <v>-64559.63</v>
      </c>
      <c r="V33" s="136">
        <f t="shared" si="22"/>
        <v>-0.11325772015604252</v>
      </c>
      <c r="W33" s="63">
        <f>-29139.88-W34</f>
        <v>-29139.88</v>
      </c>
      <c r="X33" s="136">
        <f t="shared" si="23"/>
        <v>-0.05561747919131395</v>
      </c>
      <c r="Y33" s="208">
        <f>AE33+AC33+AA33</f>
        <v>-240106.61</v>
      </c>
      <c r="Z33" s="207">
        <f aca="true" t="shared" si="31" ref="Z33:Z44">+Y33/Y$5</f>
        <v>-0.15037918027816002</v>
      </c>
      <c r="AA33" s="63">
        <f>-49664.83+6390.19-AA34</f>
        <v>-43274.64</v>
      </c>
      <c r="AB33" s="136">
        <f aca="true" t="shared" si="32" ref="AB33:AB44">+AA33/AA$5</f>
        <v>-0.08263047202297977</v>
      </c>
      <c r="AC33" s="63">
        <f>-115886.34+13.56-580-AC34</f>
        <v>-116452.78</v>
      </c>
      <c r="AD33" s="136">
        <f t="shared" si="24"/>
        <v>-0.21890449422097474</v>
      </c>
      <c r="AE33" s="63">
        <f>-80379.19-AE34</f>
        <v>-80379.19</v>
      </c>
      <c r="AF33" s="136">
        <f aca="true" t="shared" si="33" ref="AF33:AF44">+AE33/AE$5</f>
        <v>-0.148580197283883</v>
      </c>
      <c r="AG33" s="208">
        <f>AM33+AK33+AI33</f>
        <v>-318587.86</v>
      </c>
      <c r="AH33" s="207">
        <f aca="true" t="shared" si="34" ref="AH33:AJ44">+AG33/AG$5</f>
        <v>-0.16784392470084997</v>
      </c>
      <c r="AI33" s="63">
        <f>-63531.64-1200-AI34</f>
        <v>-64731.64</v>
      </c>
      <c r="AJ33" s="136">
        <f t="shared" si="34"/>
        <v>-0.10689118939203901</v>
      </c>
      <c r="AK33" s="63">
        <f>-127051-1960-AK34</f>
        <v>-129011</v>
      </c>
      <c r="AL33" s="136">
        <f aca="true" t="shared" si="35" ref="AL33:AL44">+AK33/AK$5</f>
        <v>-0.19010964206055037</v>
      </c>
      <c r="AM33" s="63">
        <f>-121565.22-3280-AM34</f>
        <v>-124845.22</v>
      </c>
      <c r="AN33" s="136">
        <f aca="true" t="shared" si="36" ref="AN33:AN44">+AM33/AM$5</f>
        <v>-0.20335693998456905</v>
      </c>
    </row>
    <row r="34" spans="2:40" ht="3" customHeight="1">
      <c r="B34" s="62" t="s">
        <v>53</v>
      </c>
      <c r="C34" s="53" t="s">
        <v>215</v>
      </c>
      <c r="D34" s="17" t="s">
        <v>132</v>
      </c>
      <c r="E34" s="17"/>
      <c r="F34" s="17"/>
      <c r="G34" s="206">
        <f>AM34+AK34+AI34+AE34+AC34+AA34+W34+U34+S34+O34+M34+K34</f>
        <v>0</v>
      </c>
      <c r="H34" s="200">
        <f>+G34/G$5</f>
        <v>0</v>
      </c>
      <c r="I34" s="208">
        <f>O34+M34+K34</f>
        <v>0</v>
      </c>
      <c r="J34" s="207">
        <f t="shared" si="25"/>
        <v>0</v>
      </c>
      <c r="K34" s="63"/>
      <c r="L34" s="136" t="e">
        <f t="shared" si="26"/>
        <v>#DIV/0!</v>
      </c>
      <c r="M34" s="63"/>
      <c r="N34" s="136">
        <f t="shared" si="27"/>
        <v>0</v>
      </c>
      <c r="O34" s="63">
        <v>0</v>
      </c>
      <c r="P34" s="136">
        <f t="shared" si="28"/>
        <v>0</v>
      </c>
      <c r="Q34" s="208"/>
      <c r="R34" s="207">
        <f t="shared" si="29"/>
        <v>0</v>
      </c>
      <c r="S34" s="63">
        <v>0</v>
      </c>
      <c r="T34" s="136">
        <f t="shared" si="30"/>
        <v>0</v>
      </c>
      <c r="U34" s="63">
        <v>0</v>
      </c>
      <c r="V34" s="136">
        <f t="shared" si="22"/>
        <v>0</v>
      </c>
      <c r="W34" s="63">
        <v>0</v>
      </c>
      <c r="X34" s="136">
        <f t="shared" si="23"/>
        <v>0</v>
      </c>
      <c r="Y34" s="208">
        <f>AE34+AC34+AA34</f>
        <v>0</v>
      </c>
      <c r="Z34" s="207">
        <f t="shared" si="31"/>
        <v>0</v>
      </c>
      <c r="AA34" s="63"/>
      <c r="AB34" s="136">
        <f t="shared" si="32"/>
        <v>0</v>
      </c>
      <c r="AC34" s="63"/>
      <c r="AD34" s="136">
        <f t="shared" si="24"/>
        <v>0</v>
      </c>
      <c r="AE34" s="63"/>
      <c r="AF34" s="136">
        <f t="shared" si="33"/>
        <v>0</v>
      </c>
      <c r="AG34" s="208">
        <f>AM34+AK34+AI34</f>
        <v>0</v>
      </c>
      <c r="AH34" s="207"/>
      <c r="AI34" s="63">
        <v>0</v>
      </c>
      <c r="AJ34" s="136"/>
      <c r="AK34" s="63">
        <v>0</v>
      </c>
      <c r="AL34" s="136">
        <f t="shared" si="35"/>
        <v>0</v>
      </c>
      <c r="AM34" s="63">
        <v>0</v>
      </c>
      <c r="AN34" s="136">
        <f t="shared" si="36"/>
        <v>0</v>
      </c>
    </row>
    <row r="35" spans="2:43" ht="12.75">
      <c r="B35" s="62" t="s">
        <v>53</v>
      </c>
      <c r="C35" s="53" t="s">
        <v>215</v>
      </c>
      <c r="D35" s="17" t="s">
        <v>216</v>
      </c>
      <c r="E35" s="17"/>
      <c r="F35" s="17"/>
      <c r="G35" s="206">
        <f aca="true" t="shared" si="37" ref="G35:G44">AM35+AK35+AI35+AE35+AC35+AA35+W35+U35+S35+O35+M35+K35</f>
        <v>-494682.6</v>
      </c>
      <c r="H35" s="200">
        <f t="shared" si="21"/>
        <v>-0.0774659948299096</v>
      </c>
      <c r="I35" s="208">
        <f aca="true" t="shared" si="38" ref="I35:I44">O35+M35+K35</f>
        <v>-102561.03</v>
      </c>
      <c r="J35" s="207">
        <f t="shared" si="25"/>
        <v>-0.08146899741386987</v>
      </c>
      <c r="K35" s="63"/>
      <c r="L35" s="136" t="e">
        <f t="shared" si="26"/>
        <v>#DIV/0!</v>
      </c>
      <c r="M35" s="63">
        <f>-55257.89-2116.28</f>
        <v>-57374.17</v>
      </c>
      <c r="N35" s="136">
        <f t="shared" si="27"/>
        <v>-0.08976399511332604</v>
      </c>
      <c r="O35" s="63">
        <f>-43717.98+66-1534.88</f>
        <v>-45186.86</v>
      </c>
      <c r="P35" s="136">
        <f t="shared" si="28"/>
        <v>-0.07291383445018067</v>
      </c>
      <c r="Q35" s="208">
        <f aca="true" t="shared" si="39" ref="Q35:Q44">W35+U35+S35</f>
        <v>-107544.79999999999</v>
      </c>
      <c r="R35" s="207">
        <f t="shared" si="29"/>
        <v>-0.06589300474406622</v>
      </c>
      <c r="S35" s="63">
        <f>-43028.27-4043.35+172</f>
        <v>-46899.619999999995</v>
      </c>
      <c r="T35" s="136">
        <f t="shared" si="30"/>
        <v>-0.08714897168954794</v>
      </c>
      <c r="U35" s="63">
        <f>-27388.75+69.9</f>
        <v>-27318.85</v>
      </c>
      <c r="V35" s="136">
        <f t="shared" si="22"/>
        <v>-0.0479257806819045</v>
      </c>
      <c r="W35" s="63">
        <v>-33326.33</v>
      </c>
      <c r="X35" s="136">
        <f t="shared" si="23"/>
        <v>-0.06360789630217632</v>
      </c>
      <c r="Y35" s="208">
        <f aca="true" t="shared" si="40" ref="Y35:Y44">AE35+AC35+AA35</f>
        <v>-93477.32</v>
      </c>
      <c r="Z35" s="207">
        <f t="shared" si="31"/>
        <v>-0.05854500530493206</v>
      </c>
      <c r="AA35" s="63">
        <f>-16223.48-348.83</f>
        <v>-16572.31</v>
      </c>
      <c r="AB35" s="136">
        <f t="shared" si="32"/>
        <v>-0.03164388653056728</v>
      </c>
      <c r="AC35" s="63">
        <f>-40247.2+425-2174.41</f>
        <v>-41996.61</v>
      </c>
      <c r="AD35" s="136">
        <f t="shared" si="24"/>
        <v>-0.07894398631827879</v>
      </c>
      <c r="AE35" s="63">
        <v>-34908.4</v>
      </c>
      <c r="AF35" s="136">
        <f t="shared" si="33"/>
        <v>-0.06452785800484805</v>
      </c>
      <c r="AG35" s="208">
        <f aca="true" t="shared" si="41" ref="AG35:AG44">AM35+AK35+AI35</f>
        <v>-191099.45</v>
      </c>
      <c r="AH35" s="207">
        <f t="shared" si="34"/>
        <v>-0.10067829231212341</v>
      </c>
      <c r="AI35" s="63">
        <v>-32546.89</v>
      </c>
      <c r="AJ35" s="136">
        <f t="shared" si="34"/>
        <v>-0.053744595117810406</v>
      </c>
      <c r="AK35" s="63">
        <f>-85567.72+3635-1965.12</f>
        <v>-83897.84</v>
      </c>
      <c r="AL35" s="136">
        <f t="shared" si="35"/>
        <v>-0.1236312278181963</v>
      </c>
      <c r="AM35" s="63">
        <f>-72433.8-2220.92</f>
        <v>-74654.72</v>
      </c>
      <c r="AN35" s="136">
        <f t="shared" si="36"/>
        <v>-0.12160301703665392</v>
      </c>
      <c r="AQ35" s="174"/>
    </row>
    <row r="36" spans="2:40" ht="12.75" hidden="1">
      <c r="B36" s="62" t="s">
        <v>53</v>
      </c>
      <c r="C36" s="53" t="s">
        <v>217</v>
      </c>
      <c r="D36" s="17" t="s">
        <v>218</v>
      </c>
      <c r="E36" s="17"/>
      <c r="F36" s="17"/>
      <c r="G36" s="206">
        <f t="shared" si="37"/>
        <v>0</v>
      </c>
      <c r="H36" s="200">
        <f t="shared" si="21"/>
        <v>0</v>
      </c>
      <c r="I36" s="208">
        <f t="shared" si="38"/>
        <v>0</v>
      </c>
      <c r="J36" s="207">
        <f t="shared" si="25"/>
        <v>0</v>
      </c>
      <c r="K36" s="63"/>
      <c r="L36" s="136" t="e">
        <f t="shared" si="26"/>
        <v>#DIV/0!</v>
      </c>
      <c r="M36" s="63"/>
      <c r="N36" s="136">
        <f t="shared" si="27"/>
        <v>0</v>
      </c>
      <c r="O36" s="63"/>
      <c r="P36" s="136">
        <f t="shared" si="28"/>
        <v>0</v>
      </c>
      <c r="Q36" s="208">
        <f t="shared" si="39"/>
        <v>0</v>
      </c>
      <c r="R36" s="207">
        <f t="shared" si="29"/>
        <v>0</v>
      </c>
      <c r="S36" s="63"/>
      <c r="T36" s="136">
        <f t="shared" si="30"/>
        <v>0</v>
      </c>
      <c r="U36" s="63"/>
      <c r="V36" s="136">
        <f t="shared" si="22"/>
        <v>0</v>
      </c>
      <c r="W36" s="63"/>
      <c r="X36" s="136">
        <f t="shared" si="23"/>
        <v>0</v>
      </c>
      <c r="Y36" s="208">
        <f t="shared" si="40"/>
        <v>0</v>
      </c>
      <c r="Z36" s="207">
        <f t="shared" si="31"/>
        <v>0</v>
      </c>
      <c r="AA36" s="63"/>
      <c r="AB36" s="136">
        <f t="shared" si="32"/>
        <v>0</v>
      </c>
      <c r="AC36" s="63"/>
      <c r="AD36" s="136">
        <f t="shared" si="24"/>
        <v>0</v>
      </c>
      <c r="AE36" s="63"/>
      <c r="AF36" s="136">
        <f t="shared" si="33"/>
        <v>0</v>
      </c>
      <c r="AG36" s="208">
        <f t="shared" si="41"/>
        <v>0</v>
      </c>
      <c r="AH36" s="207">
        <f t="shared" si="34"/>
        <v>0</v>
      </c>
      <c r="AI36" s="63"/>
      <c r="AJ36" s="136">
        <f t="shared" si="34"/>
        <v>0</v>
      </c>
      <c r="AK36" s="63"/>
      <c r="AL36" s="136">
        <f t="shared" si="35"/>
        <v>0</v>
      </c>
      <c r="AM36" s="63"/>
      <c r="AN36" s="136">
        <f t="shared" si="36"/>
        <v>0</v>
      </c>
    </row>
    <row r="37" spans="2:43" ht="12.75">
      <c r="B37" s="62" t="s">
        <v>53</v>
      </c>
      <c r="C37" s="53" t="s">
        <v>217</v>
      </c>
      <c r="D37" s="17" t="s">
        <v>220</v>
      </c>
      <c r="E37" s="17"/>
      <c r="F37" s="17"/>
      <c r="G37" s="206">
        <f t="shared" si="37"/>
        <v>-112906.10999999999</v>
      </c>
      <c r="H37" s="200">
        <f t="shared" si="21"/>
        <v>-0.017680800039308445</v>
      </c>
      <c r="I37" s="208">
        <f t="shared" si="38"/>
        <v>-30625.68</v>
      </c>
      <c r="J37" s="207">
        <f t="shared" si="25"/>
        <v>-0.024327402374157182</v>
      </c>
      <c r="K37" s="63"/>
      <c r="L37" s="136" t="e">
        <f t="shared" si="26"/>
        <v>#DIV/0!</v>
      </c>
      <c r="M37" s="63">
        <v>-23135.68</v>
      </c>
      <c r="N37" s="136">
        <f t="shared" si="27"/>
        <v>-0.036196620647644666</v>
      </c>
      <c r="O37" s="63">
        <v>-7490</v>
      </c>
      <c r="P37" s="136">
        <f t="shared" si="28"/>
        <v>-0.012085916570256336</v>
      </c>
      <c r="Q37" s="208">
        <f t="shared" si="39"/>
        <v>-23771.15</v>
      </c>
      <c r="R37" s="207">
        <f t="shared" si="29"/>
        <v>-0.014564651193938802</v>
      </c>
      <c r="S37" s="63">
        <v>-13926.25</v>
      </c>
      <c r="T37" s="136">
        <f t="shared" si="30"/>
        <v>-0.025877786792122562</v>
      </c>
      <c r="U37" s="63">
        <v>-5234.9</v>
      </c>
      <c r="V37" s="136">
        <f t="shared" si="22"/>
        <v>-0.00918364679668807</v>
      </c>
      <c r="W37" s="63">
        <v>-4610</v>
      </c>
      <c r="X37" s="136">
        <f t="shared" si="23"/>
        <v>-0.008798820690818126</v>
      </c>
      <c r="Y37" s="208">
        <f t="shared" si="40"/>
        <v>-27214.89</v>
      </c>
      <c r="Z37" s="207">
        <f t="shared" si="31"/>
        <v>-0.017044732127783964</v>
      </c>
      <c r="AA37" s="63">
        <v>-17480</v>
      </c>
      <c r="AB37" s="136">
        <f t="shared" si="32"/>
        <v>-0.03337706913244538</v>
      </c>
      <c r="AC37" s="63">
        <v>-3055.49</v>
      </c>
      <c r="AD37" s="136">
        <f t="shared" si="24"/>
        <v>-0.005743619800637186</v>
      </c>
      <c r="AE37" s="63">
        <v>-6679.4</v>
      </c>
      <c r="AF37" s="136">
        <f t="shared" si="33"/>
        <v>-0.012346809786686928</v>
      </c>
      <c r="AG37" s="208">
        <f t="shared" si="41"/>
        <v>-31294.39</v>
      </c>
      <c r="AH37" s="207">
        <f t="shared" si="34"/>
        <v>-0.016487047681977063</v>
      </c>
      <c r="AI37" s="63">
        <v>-8668.47</v>
      </c>
      <c r="AJ37" s="136">
        <f t="shared" si="34"/>
        <v>-0.01431422204827822</v>
      </c>
      <c r="AK37" s="63">
        <v>-6025.6</v>
      </c>
      <c r="AL37" s="136">
        <f t="shared" si="35"/>
        <v>-0.008879278970010715</v>
      </c>
      <c r="AM37" s="63">
        <v>-16600.32</v>
      </c>
      <c r="AN37" s="136">
        <f t="shared" si="36"/>
        <v>-0.027039803990610463</v>
      </c>
      <c r="AQ37" s="174"/>
    </row>
    <row r="38" spans="2:40" ht="12.75">
      <c r="B38" s="62" t="s">
        <v>53</v>
      </c>
      <c r="C38" s="53" t="s">
        <v>219</v>
      </c>
      <c r="D38" s="17" t="s">
        <v>222</v>
      </c>
      <c r="E38" s="17"/>
      <c r="F38" s="17"/>
      <c r="G38" s="206">
        <f t="shared" si="37"/>
        <v>-81220.23000000001</v>
      </c>
      <c r="H38" s="200">
        <f t="shared" si="21"/>
        <v>-0.012718874521287123</v>
      </c>
      <c r="I38" s="208">
        <f t="shared" si="38"/>
        <v>-11761.52</v>
      </c>
      <c r="J38" s="207">
        <f t="shared" si="25"/>
        <v>-0.009342722498625245</v>
      </c>
      <c r="K38" s="63"/>
      <c r="L38" s="136" t="e">
        <f t="shared" si="26"/>
        <v>#DIV/0!</v>
      </c>
      <c r="M38" s="63">
        <v>-4840</v>
      </c>
      <c r="N38" s="136">
        <f t="shared" si="27"/>
        <v>-0.007572357671553211</v>
      </c>
      <c r="O38" s="63">
        <v>-6921.52</v>
      </c>
      <c r="P38" s="136">
        <f t="shared" si="28"/>
        <v>-0.011168613252251085</v>
      </c>
      <c r="Q38" s="208">
        <f t="shared" si="39"/>
        <v>-14134.5</v>
      </c>
      <c r="R38" s="207">
        <f t="shared" si="29"/>
        <v>-0.008660248338878346</v>
      </c>
      <c r="S38" s="63">
        <v>-3828</v>
      </c>
      <c r="T38" s="136">
        <f t="shared" si="30"/>
        <v>-0.007113197582999384</v>
      </c>
      <c r="U38" s="63">
        <v>-5249.7</v>
      </c>
      <c r="V38" s="136">
        <f t="shared" si="22"/>
        <v>-0.009209610611200474</v>
      </c>
      <c r="W38" s="63">
        <v>-5056.8</v>
      </c>
      <c r="X38" s="136">
        <f t="shared" si="23"/>
        <v>-0.009651600101806747</v>
      </c>
      <c r="Y38" s="208">
        <f t="shared" si="40"/>
        <v>-11783.67</v>
      </c>
      <c r="Z38" s="207">
        <f t="shared" si="31"/>
        <v>-0.007380132663854385</v>
      </c>
      <c r="AA38" s="63">
        <v>0</v>
      </c>
      <c r="AB38" s="136">
        <f t="shared" si="32"/>
        <v>0</v>
      </c>
      <c r="AC38" s="63">
        <v>-3217.33</v>
      </c>
      <c r="AD38" s="136">
        <f t="shared" si="24"/>
        <v>-0.006047841849649005</v>
      </c>
      <c r="AE38" s="63">
        <v>-8566.34</v>
      </c>
      <c r="AF38" s="136">
        <f t="shared" si="33"/>
        <v>-0.015834801112089066</v>
      </c>
      <c r="AG38" s="208">
        <f t="shared" si="41"/>
        <v>-43540.54</v>
      </c>
      <c r="AH38" s="207">
        <f t="shared" si="34"/>
        <v>-0.02293877461995679</v>
      </c>
      <c r="AI38" s="63">
        <v>-15717.37</v>
      </c>
      <c r="AJ38" s="136">
        <f t="shared" si="34"/>
        <v>-0.02595405235236976</v>
      </c>
      <c r="AK38" s="63">
        <v>-19995.68</v>
      </c>
      <c r="AL38" s="136">
        <f t="shared" si="35"/>
        <v>-0.029465484087072464</v>
      </c>
      <c r="AM38" s="63">
        <f>-7827.49</f>
        <v>-7827.49</v>
      </c>
      <c r="AN38" s="136">
        <f t="shared" si="36"/>
        <v>-0.012749982852045231</v>
      </c>
    </row>
    <row r="39" spans="2:40" ht="12.75">
      <c r="B39" s="62" t="s">
        <v>53</v>
      </c>
      <c r="C39" s="53" t="s">
        <v>221</v>
      </c>
      <c r="D39" s="17" t="s">
        <v>224</v>
      </c>
      <c r="E39" s="17"/>
      <c r="F39" s="17"/>
      <c r="G39" s="206">
        <f t="shared" si="37"/>
        <v>-21997.489999999998</v>
      </c>
      <c r="H39" s="200">
        <f t="shared" si="21"/>
        <v>-0.003444749111068366</v>
      </c>
      <c r="I39" s="208">
        <f t="shared" si="38"/>
        <v>-942</v>
      </c>
      <c r="J39" s="207">
        <f t="shared" si="25"/>
        <v>-0.0007482744231787202</v>
      </c>
      <c r="K39" s="63"/>
      <c r="L39" s="136" t="e">
        <f t="shared" si="26"/>
        <v>#DIV/0!</v>
      </c>
      <c r="M39" s="63">
        <v>-552</v>
      </c>
      <c r="N39" s="136">
        <f t="shared" si="27"/>
        <v>-0.0008636242633672257</v>
      </c>
      <c r="O39" s="63">
        <v>-390</v>
      </c>
      <c r="P39" s="136">
        <f t="shared" si="28"/>
        <v>-0.0006293067373030668</v>
      </c>
      <c r="Q39" s="208">
        <f t="shared" si="39"/>
        <v>0</v>
      </c>
      <c r="R39" s="207">
        <f t="shared" si="29"/>
        <v>0</v>
      </c>
      <c r="S39" s="63">
        <v>0</v>
      </c>
      <c r="T39" s="136">
        <f t="shared" si="30"/>
        <v>0</v>
      </c>
      <c r="U39" s="63">
        <v>0</v>
      </c>
      <c r="V39" s="136">
        <f t="shared" si="22"/>
        <v>0</v>
      </c>
      <c r="W39" s="63">
        <v>0</v>
      </c>
      <c r="X39" s="136">
        <f t="shared" si="23"/>
        <v>0</v>
      </c>
      <c r="Y39" s="208">
        <f t="shared" si="40"/>
        <v>0</v>
      </c>
      <c r="Z39" s="207">
        <f t="shared" si="31"/>
        <v>0</v>
      </c>
      <c r="AA39" s="63">
        <v>0</v>
      </c>
      <c r="AB39" s="136">
        <f t="shared" si="32"/>
        <v>0</v>
      </c>
      <c r="AC39" s="63">
        <v>0</v>
      </c>
      <c r="AD39" s="136">
        <f t="shared" si="24"/>
        <v>0</v>
      </c>
      <c r="AE39" s="63">
        <v>0</v>
      </c>
      <c r="AF39" s="136">
        <f t="shared" si="33"/>
        <v>0</v>
      </c>
      <c r="AG39" s="208">
        <f t="shared" si="41"/>
        <v>-21055.489999999998</v>
      </c>
      <c r="AH39" s="207">
        <f t="shared" si="34"/>
        <v>-0.01109281464177417</v>
      </c>
      <c r="AI39" s="63">
        <v>-4019.99</v>
      </c>
      <c r="AJ39" s="136">
        <f t="shared" si="34"/>
        <v>-0.006638199069946365</v>
      </c>
      <c r="AK39" s="63">
        <v>-6601.54</v>
      </c>
      <c r="AL39" s="136">
        <f t="shared" si="35"/>
        <v>-0.009727979834652902</v>
      </c>
      <c r="AM39" s="63">
        <v>-10433.96</v>
      </c>
      <c r="AN39" s="136">
        <f t="shared" si="36"/>
        <v>-0.016995590039581763</v>
      </c>
    </row>
    <row r="40" spans="2:40" ht="12.75">
      <c r="B40" s="62" t="s">
        <v>53</v>
      </c>
      <c r="C40" s="53" t="s">
        <v>223</v>
      </c>
      <c r="D40" s="17" t="s">
        <v>226</v>
      </c>
      <c r="E40" s="17"/>
      <c r="F40" s="17"/>
      <c r="G40" s="206">
        <f t="shared" si="37"/>
        <v>-102157.73999999999</v>
      </c>
      <c r="H40" s="200">
        <f t="shared" si="21"/>
        <v>-0.01599763355063479</v>
      </c>
      <c r="I40" s="208">
        <f t="shared" si="38"/>
        <v>-26130.32</v>
      </c>
      <c r="J40" s="207">
        <f t="shared" si="25"/>
        <v>-0.020756528795621416</v>
      </c>
      <c r="K40" s="63"/>
      <c r="L40" s="136" t="e">
        <f t="shared" si="26"/>
        <v>#DIV/0!</v>
      </c>
      <c r="M40" s="63">
        <f>-9373.1-1567.5</f>
        <v>-10940.6</v>
      </c>
      <c r="N40" s="136">
        <f t="shared" si="27"/>
        <v>-0.017116970318470055</v>
      </c>
      <c r="O40" s="63">
        <f>-13622.22-1567.5</f>
        <v>-15189.72</v>
      </c>
      <c r="P40" s="136">
        <f t="shared" si="28"/>
        <v>-0.024510238804479847</v>
      </c>
      <c r="Q40" s="208">
        <f t="shared" si="39"/>
        <v>-12487.8</v>
      </c>
      <c r="R40" s="207">
        <f t="shared" si="29"/>
        <v>-0.007651310566786586</v>
      </c>
      <c r="S40" s="63">
        <f>-3489.54-1567.5</f>
        <v>-5057.04</v>
      </c>
      <c r="T40" s="136">
        <f t="shared" si="30"/>
        <v>-0.009397002274067713</v>
      </c>
      <c r="U40" s="63">
        <f>-1856-1567.5</f>
        <v>-3423.5</v>
      </c>
      <c r="V40" s="136">
        <f t="shared" si="22"/>
        <v>-0.006005886417784792</v>
      </c>
      <c r="W40" s="63">
        <f>-2439.76-1567.5</f>
        <v>-4007.26</v>
      </c>
      <c r="X40" s="136">
        <f t="shared" si="23"/>
        <v>-0.007648408286656799</v>
      </c>
      <c r="Y40" s="208">
        <f t="shared" si="40"/>
        <v>-10304.539999999999</v>
      </c>
      <c r="Z40" s="207">
        <f t="shared" si="31"/>
        <v>-0.006453751016448531</v>
      </c>
      <c r="AA40" s="63">
        <f>-800-1567.5</f>
        <v>-2367.5</v>
      </c>
      <c r="AB40" s="136">
        <f t="shared" si="32"/>
        <v>-0.0045206070463995685</v>
      </c>
      <c r="AC40" s="63">
        <f>-1834.9-1567.5</f>
        <v>-3402.4</v>
      </c>
      <c r="AD40" s="136">
        <f t="shared" si="24"/>
        <v>-0.0063957309661258795</v>
      </c>
      <c r="AE40" s="63">
        <f>-2967.14-1567.5</f>
        <v>-4534.639999999999</v>
      </c>
      <c r="AF40" s="136">
        <f t="shared" si="33"/>
        <v>-0.008382240550214392</v>
      </c>
      <c r="AG40" s="208">
        <f t="shared" si="41"/>
        <v>-53235.079999999994</v>
      </c>
      <c r="AH40" s="207">
        <f t="shared" si="34"/>
        <v>-0.028046218581473017</v>
      </c>
      <c r="AI40" s="63">
        <f>-14593.97-1629.1</f>
        <v>-16223.07</v>
      </c>
      <c r="AJ40" s="136">
        <f t="shared" si="34"/>
        <v>-0.02678911345194261</v>
      </c>
      <c r="AK40" s="63">
        <f>-14769.55-1497</f>
        <v>-16266.55</v>
      </c>
      <c r="AL40" s="136">
        <f t="shared" si="35"/>
        <v>-0.02397026608630307</v>
      </c>
      <c r="AM40" s="63">
        <f>-19248.46-1497</f>
        <v>-20745.46</v>
      </c>
      <c r="AN40" s="136">
        <f t="shared" si="36"/>
        <v>-0.033791708358335844</v>
      </c>
    </row>
    <row r="41" spans="2:40" ht="12.75">
      <c r="B41" s="62" t="s">
        <v>53</v>
      </c>
      <c r="C41" s="53" t="s">
        <v>225</v>
      </c>
      <c r="D41" s="17" t="s">
        <v>270</v>
      </c>
      <c r="E41" s="17"/>
      <c r="F41" s="17"/>
      <c r="G41" s="206">
        <f t="shared" si="37"/>
        <v>-48040.5</v>
      </c>
      <c r="H41" s="200">
        <f t="shared" si="21"/>
        <v>-0.007523016020022278</v>
      </c>
      <c r="I41" s="208">
        <f t="shared" si="38"/>
        <v>-2400</v>
      </c>
      <c r="J41" s="207">
        <f t="shared" si="25"/>
        <v>-0.001906431651410752</v>
      </c>
      <c r="K41" s="63"/>
      <c r="L41" s="136" t="e">
        <f t="shared" si="26"/>
        <v>#DIV/0!</v>
      </c>
      <c r="M41" s="63">
        <v>-2400</v>
      </c>
      <c r="N41" s="136">
        <f t="shared" si="27"/>
        <v>-0.0037548881015966335</v>
      </c>
      <c r="O41" s="63"/>
      <c r="P41" s="136">
        <f t="shared" si="28"/>
        <v>0</v>
      </c>
      <c r="Q41" s="208">
        <f t="shared" si="39"/>
        <v>0</v>
      </c>
      <c r="R41" s="207">
        <f t="shared" si="29"/>
        <v>0</v>
      </c>
      <c r="S41" s="63">
        <v>0</v>
      </c>
      <c r="T41" s="136">
        <f t="shared" si="30"/>
        <v>0</v>
      </c>
      <c r="U41" s="63">
        <v>0</v>
      </c>
      <c r="V41" s="136">
        <f t="shared" si="22"/>
        <v>0</v>
      </c>
      <c r="W41" s="63">
        <v>0</v>
      </c>
      <c r="X41" s="136">
        <f t="shared" si="23"/>
        <v>0</v>
      </c>
      <c r="Y41" s="208">
        <f t="shared" si="40"/>
        <v>-4900</v>
      </c>
      <c r="Z41" s="207">
        <f t="shared" si="31"/>
        <v>-0.003068878375997163</v>
      </c>
      <c r="AA41" s="63">
        <v>0</v>
      </c>
      <c r="AB41" s="136">
        <f t="shared" si="32"/>
        <v>0</v>
      </c>
      <c r="AC41" s="63">
        <v>0</v>
      </c>
      <c r="AD41" s="136">
        <f t="shared" si="24"/>
        <v>0</v>
      </c>
      <c r="AE41" s="63">
        <v>-4900</v>
      </c>
      <c r="AF41" s="136">
        <f t="shared" si="33"/>
        <v>-0.009057605167345264</v>
      </c>
      <c r="AG41" s="208">
        <f t="shared" si="41"/>
        <v>-40740.5</v>
      </c>
      <c r="AH41" s="207">
        <f t="shared" si="34"/>
        <v>-0.02146360948679896</v>
      </c>
      <c r="AI41" s="63">
        <v>-5096</v>
      </c>
      <c r="AJ41" s="136">
        <f t="shared" si="34"/>
        <v>-0.008415011594667319</v>
      </c>
      <c r="AK41" s="63">
        <v>0</v>
      </c>
      <c r="AL41" s="136">
        <f t="shared" si="35"/>
        <v>0</v>
      </c>
      <c r="AM41" s="63">
        <v>-35644.5</v>
      </c>
      <c r="AN41" s="136">
        <f t="shared" si="36"/>
        <v>-0.058060344218865335</v>
      </c>
    </row>
    <row r="42" spans="2:40" ht="12.75">
      <c r="B42" s="62" t="s">
        <v>53</v>
      </c>
      <c r="C42" s="53" t="s">
        <v>227</v>
      </c>
      <c r="D42" s="17" t="s">
        <v>287</v>
      </c>
      <c r="E42" s="17"/>
      <c r="F42" s="17"/>
      <c r="G42" s="206">
        <f t="shared" si="37"/>
        <v>-1327.21</v>
      </c>
      <c r="H42" s="200">
        <f t="shared" si="21"/>
        <v>-0.00020783759727591858</v>
      </c>
      <c r="I42" s="208">
        <f t="shared" si="38"/>
        <v>-389.9</v>
      </c>
      <c r="J42" s="207">
        <f t="shared" si="25"/>
        <v>-0.00030971570870210504</v>
      </c>
      <c r="K42" s="63"/>
      <c r="L42" s="136" t="e">
        <f t="shared" si="26"/>
        <v>#DIV/0!</v>
      </c>
      <c r="M42" s="63">
        <v>-159.19</v>
      </c>
      <c r="N42" s="136">
        <f t="shared" si="27"/>
        <v>-0.0002490585987054867</v>
      </c>
      <c r="O42" s="63">
        <v>-230.71</v>
      </c>
      <c r="P42" s="136">
        <f t="shared" si="28"/>
        <v>-0.0003722752752902322</v>
      </c>
      <c r="Q42" s="208">
        <f t="shared" si="39"/>
        <v>-410</v>
      </c>
      <c r="R42" s="207">
        <f t="shared" si="29"/>
        <v>-0.0002512081657603822</v>
      </c>
      <c r="S42" s="63">
        <v>0</v>
      </c>
      <c r="T42" s="136">
        <f t="shared" si="30"/>
        <v>0</v>
      </c>
      <c r="U42" s="63">
        <v>-410</v>
      </c>
      <c r="V42" s="136">
        <f t="shared" si="22"/>
        <v>-0.0007192678344652446</v>
      </c>
      <c r="W42" s="63">
        <v>0</v>
      </c>
      <c r="X42" s="136">
        <f t="shared" si="23"/>
        <v>0</v>
      </c>
      <c r="Y42" s="208">
        <f t="shared" si="40"/>
        <v>-407.59</v>
      </c>
      <c r="Z42" s="207"/>
      <c r="AA42" s="63">
        <v>0</v>
      </c>
      <c r="AB42" s="136">
        <f t="shared" si="32"/>
        <v>0</v>
      </c>
      <c r="AC42" s="63">
        <v>0</v>
      </c>
      <c r="AD42" s="136"/>
      <c r="AE42" s="63">
        <v>-407.59</v>
      </c>
      <c r="AF42" s="136">
        <f t="shared" si="33"/>
        <v>-0.0007534263857465828</v>
      </c>
      <c r="AG42" s="208">
        <f t="shared" si="41"/>
        <v>-119.72</v>
      </c>
      <c r="AH42" s="207">
        <f t="shared" si="34"/>
        <v>-6.307294529422985E-05</v>
      </c>
      <c r="AI42" s="63">
        <v>0</v>
      </c>
      <c r="AJ42" s="136">
        <f t="shared" si="34"/>
        <v>0</v>
      </c>
      <c r="AK42" s="63">
        <v>0</v>
      </c>
      <c r="AL42" s="136">
        <f t="shared" si="35"/>
        <v>0</v>
      </c>
      <c r="AM42" s="63">
        <v>-119.72</v>
      </c>
      <c r="AN42" s="136">
        <f t="shared" si="36"/>
        <v>-0.00019500861030124025</v>
      </c>
    </row>
    <row r="43" spans="2:40" ht="12.75">
      <c r="B43" s="62" t="s">
        <v>53</v>
      </c>
      <c r="C43" s="53" t="s">
        <v>228</v>
      </c>
      <c r="D43" s="17" t="s">
        <v>229</v>
      </c>
      <c r="E43" s="17"/>
      <c r="F43" s="17"/>
      <c r="G43" s="206">
        <f t="shared" si="37"/>
        <v>-488523.68999999994</v>
      </c>
      <c r="H43" s="200">
        <f t="shared" si="21"/>
        <v>-0.07650152571331265</v>
      </c>
      <c r="I43" s="208">
        <f t="shared" si="38"/>
        <v>-88975.08</v>
      </c>
      <c r="J43" s="207">
        <f t="shared" si="25"/>
        <v>-0.07067704529116824</v>
      </c>
      <c r="K43" s="63"/>
      <c r="L43" s="136" t="e">
        <f t="shared" si="26"/>
        <v>#DIV/0!</v>
      </c>
      <c r="M43" s="63">
        <v>-44487.54</v>
      </c>
      <c r="N43" s="136">
        <f t="shared" si="27"/>
        <v>-0.06960238942304345</v>
      </c>
      <c r="O43" s="63">
        <v>-44487.54</v>
      </c>
      <c r="P43" s="136">
        <f t="shared" si="28"/>
        <v>-0.07178540678984534</v>
      </c>
      <c r="Q43" s="208">
        <f t="shared" si="39"/>
        <v>-131133.69</v>
      </c>
      <c r="R43" s="207">
        <f t="shared" si="29"/>
        <v>-0.08034598471778188</v>
      </c>
      <c r="S43" s="63">
        <f>-44481.83+3167.7</f>
        <v>-41314.130000000005</v>
      </c>
      <c r="T43" s="136">
        <f t="shared" si="30"/>
        <v>-0.07677000252343845</v>
      </c>
      <c r="U43" s="63">
        <v>-44926.38</v>
      </c>
      <c r="V43" s="136">
        <f t="shared" si="22"/>
        <v>-0.07881487817795774</v>
      </c>
      <c r="W43" s="63">
        <v>-44893.18</v>
      </c>
      <c r="X43" s="136">
        <f t="shared" si="23"/>
        <v>-0.08568482452508079</v>
      </c>
      <c r="Y43" s="208">
        <f t="shared" si="40"/>
        <v>-134648.62</v>
      </c>
      <c r="Z43" s="207">
        <f t="shared" si="31"/>
        <v>-0.0843306608726243</v>
      </c>
      <c r="AA43" s="63">
        <v>-44893.18</v>
      </c>
      <c r="AB43" s="136">
        <f t="shared" si="32"/>
        <v>-0.08572098240476628</v>
      </c>
      <c r="AC43" s="63">
        <v>-44886.52</v>
      </c>
      <c r="AD43" s="136">
        <f t="shared" si="24"/>
        <v>-0.08437635372843538</v>
      </c>
      <c r="AE43" s="63">
        <v>-44868.92</v>
      </c>
      <c r="AF43" s="136">
        <f t="shared" si="33"/>
        <v>-0.08293978809085739</v>
      </c>
      <c r="AG43" s="208">
        <f t="shared" si="41"/>
        <v>-133766.3</v>
      </c>
      <c r="AH43" s="207">
        <f t="shared" si="34"/>
        <v>-0.07047305815328715</v>
      </c>
      <c r="AI43" s="63">
        <v>-44792.94</v>
      </c>
      <c r="AJ43" s="136">
        <f t="shared" si="34"/>
        <v>-0.07396646574945792</v>
      </c>
      <c r="AK43" s="63">
        <v>-44584</v>
      </c>
      <c r="AL43" s="136">
        <f t="shared" si="35"/>
        <v>-0.06569864803487746</v>
      </c>
      <c r="AM43" s="63">
        <v>-44389.36</v>
      </c>
      <c r="AN43" s="136">
        <f t="shared" si="36"/>
        <v>-0.07230460579486687</v>
      </c>
    </row>
    <row r="44" spans="2:40" ht="12.75">
      <c r="B44" s="62" t="s">
        <v>53</v>
      </c>
      <c r="C44" s="53" t="s">
        <v>286</v>
      </c>
      <c r="D44" s="17" t="s">
        <v>230</v>
      </c>
      <c r="E44" s="17"/>
      <c r="F44" s="17"/>
      <c r="G44" s="206">
        <f t="shared" si="37"/>
        <v>-281867.5</v>
      </c>
      <c r="H44" s="200">
        <f t="shared" si="21"/>
        <v>-0.04413970957886844</v>
      </c>
      <c r="I44" s="208">
        <f t="shared" si="38"/>
        <v>-92931.34</v>
      </c>
      <c r="J44" s="207">
        <f t="shared" si="25"/>
        <v>-0.07381968666000586</v>
      </c>
      <c r="K44" s="63"/>
      <c r="L44" s="136" t="e">
        <f t="shared" si="26"/>
        <v>#DIV/0!</v>
      </c>
      <c r="M44" s="63">
        <v>-76526.44</v>
      </c>
      <c r="N44" s="136">
        <f t="shared" si="27"/>
        <v>-0.11972842458897862</v>
      </c>
      <c r="O44" s="63">
        <v>-16404.9</v>
      </c>
      <c r="P44" s="136">
        <f t="shared" si="28"/>
        <v>-0.026471061781495085</v>
      </c>
      <c r="Q44" s="208">
        <f t="shared" si="39"/>
        <v>-50354.81999999999</v>
      </c>
      <c r="R44" s="207">
        <f t="shared" si="29"/>
        <v>-0.030852541388766357</v>
      </c>
      <c r="S44" s="63">
        <v>30348.74</v>
      </c>
      <c r="T44" s="136">
        <f t="shared" si="30"/>
        <v>0.05639409195796153</v>
      </c>
      <c r="U44" s="63">
        <v>-31825.7</v>
      </c>
      <c r="V44" s="136">
        <f t="shared" si="22"/>
        <v>-0.055832200778879355</v>
      </c>
      <c r="W44" s="63">
        <v>-48877.86</v>
      </c>
      <c r="X44" s="136">
        <f t="shared" si="23"/>
        <v>-0.09329013576809363</v>
      </c>
      <c r="Y44" s="208">
        <f t="shared" si="40"/>
        <v>-87352.4</v>
      </c>
      <c r="Z44" s="207">
        <f t="shared" si="31"/>
        <v>-0.05470895743907236</v>
      </c>
      <c r="AA44" s="63">
        <v>11710.85</v>
      </c>
      <c r="AB44" s="136">
        <f t="shared" si="32"/>
        <v>0.02236120423625275</v>
      </c>
      <c r="AC44" s="63">
        <v>5273.9</v>
      </c>
      <c r="AD44" s="136">
        <f t="shared" si="24"/>
        <v>0.009913721356175426</v>
      </c>
      <c r="AE44" s="63">
        <f>-94837.15-9500</f>
        <v>-104337.15</v>
      </c>
      <c r="AF44" s="136">
        <f t="shared" si="33"/>
        <v>-0.19286626714001587</v>
      </c>
      <c r="AG44" s="208">
        <f t="shared" si="41"/>
        <v>-51228.939999999995</v>
      </c>
      <c r="AH44" s="207">
        <f t="shared" si="34"/>
        <v>-0.02698930947294841</v>
      </c>
      <c r="AI44" s="63">
        <v>-8904.67</v>
      </c>
      <c r="AJ44" s="136">
        <f t="shared" si="34"/>
        <v>-0.014704258496210015</v>
      </c>
      <c r="AK44" s="63">
        <v>-38267.24</v>
      </c>
      <c r="AL44" s="136">
        <f t="shared" si="35"/>
        <v>-0.05639031787246959</v>
      </c>
      <c r="AM44" s="63">
        <v>-4057.03</v>
      </c>
      <c r="AN44" s="136">
        <f t="shared" si="36"/>
        <v>-0.006608384415723695</v>
      </c>
    </row>
    <row r="45" spans="2:40" ht="9" customHeight="1">
      <c r="B45" s="62"/>
      <c r="C45" s="53"/>
      <c r="D45" s="17"/>
      <c r="E45" s="17"/>
      <c r="F45" s="17"/>
      <c r="G45" s="206"/>
      <c r="H45" s="200"/>
      <c r="I45" s="199"/>
      <c r="J45" s="207"/>
      <c r="K45" s="63"/>
      <c r="L45" s="136"/>
      <c r="M45" s="63"/>
      <c r="N45" s="136"/>
      <c r="O45" s="63"/>
      <c r="P45" s="136"/>
      <c r="Q45" s="199"/>
      <c r="R45" s="207"/>
      <c r="S45" s="63"/>
      <c r="T45" s="136"/>
      <c r="U45" s="63"/>
      <c r="V45" s="136"/>
      <c r="W45" s="63"/>
      <c r="X45" s="136"/>
      <c r="Y45" s="199"/>
      <c r="Z45" s="207"/>
      <c r="AA45" s="63"/>
      <c r="AB45" s="136"/>
      <c r="AC45" s="63"/>
      <c r="AD45" s="136"/>
      <c r="AE45" s="63"/>
      <c r="AF45" s="136"/>
      <c r="AG45" s="199"/>
      <c r="AH45" s="207"/>
      <c r="AI45" s="63"/>
      <c r="AJ45" s="136"/>
      <c r="AK45" s="63"/>
      <c r="AL45" s="136"/>
      <c r="AM45" s="63"/>
      <c r="AN45" s="136"/>
    </row>
    <row r="46" spans="2:40" ht="12.75">
      <c r="B46" s="62" t="s">
        <v>53</v>
      </c>
      <c r="C46" s="50" t="s">
        <v>231</v>
      </c>
      <c r="D46" s="50"/>
      <c r="E46" s="50"/>
      <c r="F46" s="50"/>
      <c r="G46" s="197">
        <f>G47</f>
        <v>-217909.99</v>
      </c>
      <c r="H46" s="198">
        <f>+G46/G$5</f>
        <v>-0.03412413163253701</v>
      </c>
      <c r="I46" s="197">
        <f>I47</f>
        <v>-22527.010000000002</v>
      </c>
      <c r="J46" s="205">
        <f>+I46/I$5</f>
        <v>-0.017894252031519387</v>
      </c>
      <c r="K46" s="64">
        <f>K47</f>
        <v>0</v>
      </c>
      <c r="L46" s="137" t="e">
        <f>+K46/K$5</f>
        <v>#DIV/0!</v>
      </c>
      <c r="M46" s="64">
        <f>M47</f>
        <v>-11092.45</v>
      </c>
      <c r="N46" s="137">
        <f>+M46/M$5</f>
        <v>-0.01735454521773149</v>
      </c>
      <c r="O46" s="64">
        <f>O47</f>
        <v>-11434.56</v>
      </c>
      <c r="P46" s="137">
        <f>+O46/O$5</f>
        <v>-0.018450886272041424</v>
      </c>
      <c r="Q46" s="197">
        <f>Q47</f>
        <v>-38120.74</v>
      </c>
      <c r="R46" s="205">
        <f>+Q46/Q$5</f>
        <v>-0.023356685787386415</v>
      </c>
      <c r="S46" s="64">
        <f>S47</f>
        <v>-8393.1</v>
      </c>
      <c r="T46" s="137">
        <f>+S46/S$5</f>
        <v>-0.015596075923164088</v>
      </c>
      <c r="U46" s="64">
        <f>U47</f>
        <v>-13214.52</v>
      </c>
      <c r="V46" s="137">
        <f>+U46/U$5</f>
        <v>-0.023182388253408938</v>
      </c>
      <c r="W46" s="64">
        <f>W47</f>
        <v>-16513.12</v>
      </c>
      <c r="X46" s="137">
        <f>+W46/W$5</f>
        <v>-0.03151756657829991</v>
      </c>
      <c r="Y46" s="197">
        <f>Y47</f>
        <v>-104637.44</v>
      </c>
      <c r="Z46" s="205">
        <f>+Y46/Y$5</f>
        <v>-0.06553460753789807</v>
      </c>
      <c r="AA46" s="64">
        <f>AA47</f>
        <v>-16684.39</v>
      </c>
      <c r="AB46" s="137">
        <f>+AA46/AA$5</f>
        <v>-0.03185789693722428</v>
      </c>
      <c r="AC46" s="64">
        <f>AC47</f>
        <v>-74129.49</v>
      </c>
      <c r="AD46" s="137">
        <f>+AC46/AC$5</f>
        <v>-0.13934642449333373</v>
      </c>
      <c r="AE46" s="64">
        <f>AE47</f>
        <v>-13823.56</v>
      </c>
      <c r="AF46" s="137">
        <f>+AE46/AE$5</f>
        <v>-0.0255527241810423</v>
      </c>
      <c r="AG46" s="197">
        <f>AG47</f>
        <v>-52624.799999999996</v>
      </c>
      <c r="AH46" s="205">
        <f>+AG46/AG$5</f>
        <v>-0.027724700396924384</v>
      </c>
      <c r="AI46" s="64">
        <f>AI47</f>
        <v>-15307.21</v>
      </c>
      <c r="AJ46" s="137">
        <f>+AI46/AI$5</f>
        <v>-0.025276756207222827</v>
      </c>
      <c r="AK46" s="64">
        <f>AK47</f>
        <v>-25808.62</v>
      </c>
      <c r="AL46" s="137">
        <f>+AK46/AK$5</f>
        <v>-0.03803138887596221</v>
      </c>
      <c r="AM46" s="64">
        <f>AM47</f>
        <v>-11508.97</v>
      </c>
      <c r="AN46" s="137">
        <f>+AM46/AM$5</f>
        <v>-0.01874664421732931</v>
      </c>
    </row>
    <row r="47" spans="2:40" ht="12.75">
      <c r="B47" s="62" t="s">
        <v>53</v>
      </c>
      <c r="C47" s="53" t="s">
        <v>252</v>
      </c>
      <c r="D47" s="17" t="s">
        <v>232</v>
      </c>
      <c r="E47" s="50"/>
      <c r="F47" s="50"/>
      <c r="G47" s="206">
        <f>AM47+AK47+AI47+AE47+AC47+AA47+W47+U47+S47+O47+M47+K47</f>
        <v>-217909.99</v>
      </c>
      <c r="H47" s="200">
        <f>+G47/G$5</f>
        <v>-0.03412413163253701</v>
      </c>
      <c r="I47" s="208">
        <f>O47+M47+K47</f>
        <v>-22527.010000000002</v>
      </c>
      <c r="J47" s="207">
        <f>+I47/I$5</f>
        <v>-0.017894252031519387</v>
      </c>
      <c r="K47" s="63"/>
      <c r="L47" s="136" t="e">
        <f>+K47/K$5</f>
        <v>#DIV/0!</v>
      </c>
      <c r="M47" s="63">
        <v>-11092.45</v>
      </c>
      <c r="N47" s="136">
        <f>+M47/M$5</f>
        <v>-0.01735454521773149</v>
      </c>
      <c r="O47" s="63">
        <v>-11434.56</v>
      </c>
      <c r="P47" s="136">
        <f>+O47/O$5</f>
        <v>-0.018450886272041424</v>
      </c>
      <c r="Q47" s="208">
        <f>W47+U47+S47</f>
        <v>-38120.74</v>
      </c>
      <c r="R47" s="207">
        <f>+Q47/Q$5</f>
        <v>-0.023356685787386415</v>
      </c>
      <c r="S47" s="63">
        <v>-8393.1</v>
      </c>
      <c r="T47" s="136">
        <f>+S47/S$5</f>
        <v>-0.015596075923164088</v>
      </c>
      <c r="U47" s="63">
        <f>-13310.49+95.97</f>
        <v>-13214.52</v>
      </c>
      <c r="V47" s="136">
        <f>+U47/U$5</f>
        <v>-0.023182388253408938</v>
      </c>
      <c r="W47" s="63">
        <v>-16513.12</v>
      </c>
      <c r="X47" s="136">
        <f>+W47/W$5</f>
        <v>-0.03151756657829991</v>
      </c>
      <c r="Y47" s="208">
        <f>AE47+AC47+AA47</f>
        <v>-104637.44</v>
      </c>
      <c r="Z47" s="207">
        <f>+Y47/Y$5</f>
        <v>-0.06553460753789807</v>
      </c>
      <c r="AA47" s="63">
        <v>-16684.39</v>
      </c>
      <c r="AB47" s="136">
        <f>+AA47/AA$5</f>
        <v>-0.03185789693722428</v>
      </c>
      <c r="AC47" s="63">
        <v>-74129.49</v>
      </c>
      <c r="AD47" s="136">
        <f>+AC47/AC$5</f>
        <v>-0.13934642449333373</v>
      </c>
      <c r="AE47" s="63">
        <v>-13823.56</v>
      </c>
      <c r="AF47" s="136">
        <f>+AE47/AE$5</f>
        <v>-0.0255527241810423</v>
      </c>
      <c r="AG47" s="208">
        <f>AM47+AK47+AI47</f>
        <v>-52624.799999999996</v>
      </c>
      <c r="AH47" s="207">
        <f>+AG47/AG$5</f>
        <v>-0.027724700396924384</v>
      </c>
      <c r="AI47" s="63">
        <v>-15307.21</v>
      </c>
      <c r="AJ47" s="136">
        <f>+AI47/AI$5</f>
        <v>-0.025276756207222827</v>
      </c>
      <c r="AK47" s="63">
        <v>-25808.62</v>
      </c>
      <c r="AL47" s="136">
        <f>+AK47/AK$5</f>
        <v>-0.03803138887596221</v>
      </c>
      <c r="AM47" s="63">
        <v>-11508.97</v>
      </c>
      <c r="AN47" s="136">
        <f>+AM47/AM$5</f>
        <v>-0.01874664421732931</v>
      </c>
    </row>
    <row r="48" spans="2:40" ht="8.25" customHeight="1">
      <c r="B48" s="62"/>
      <c r="C48" s="53"/>
      <c r="D48" s="17"/>
      <c r="E48" s="17"/>
      <c r="F48" s="17"/>
      <c r="G48" s="206"/>
      <c r="H48" s="200"/>
      <c r="I48" s="199"/>
      <c r="J48" s="207"/>
      <c r="K48" s="63"/>
      <c r="L48" s="136"/>
      <c r="M48" s="63"/>
      <c r="N48" s="136"/>
      <c r="O48" s="63"/>
      <c r="P48" s="136"/>
      <c r="Q48" s="199"/>
      <c r="R48" s="207"/>
      <c r="S48" s="63"/>
      <c r="T48" s="136"/>
      <c r="U48" s="63"/>
      <c r="V48" s="136"/>
      <c r="W48" s="63"/>
      <c r="X48" s="136"/>
      <c r="Y48" s="199"/>
      <c r="Z48" s="207"/>
      <c r="AA48" s="63"/>
      <c r="AB48" s="136"/>
      <c r="AC48" s="63"/>
      <c r="AD48" s="136"/>
      <c r="AE48" s="63"/>
      <c r="AF48" s="136"/>
      <c r="AG48" s="199"/>
      <c r="AH48" s="207"/>
      <c r="AI48" s="63"/>
      <c r="AJ48" s="136"/>
      <c r="AK48" s="63"/>
      <c r="AL48" s="136"/>
      <c r="AM48" s="63"/>
      <c r="AN48" s="136"/>
    </row>
    <row r="49" spans="2:40" ht="12.75">
      <c r="B49" s="146"/>
      <c r="C49" s="147" t="s">
        <v>30</v>
      </c>
      <c r="D49" s="147"/>
      <c r="E49" s="147"/>
      <c r="F49" s="147"/>
      <c r="G49" s="256">
        <f>G25+G23</f>
        <v>1383540.3099999996</v>
      </c>
      <c r="H49" s="209">
        <f>+G49/G$5</f>
        <v>0.21665877575122208</v>
      </c>
      <c r="I49" s="193">
        <f>I25+I23</f>
        <v>218368.54999999993</v>
      </c>
      <c r="J49" s="209">
        <f>+I49/I$5</f>
        <v>0.17346029808027968</v>
      </c>
      <c r="K49" s="185">
        <f>K25+K23</f>
        <v>0</v>
      </c>
      <c r="L49" s="155" t="e">
        <f>+K49/K$5</f>
        <v>#DIV/0!</v>
      </c>
      <c r="M49" s="185">
        <f>M25+M23</f>
        <v>91341.10999999999</v>
      </c>
      <c r="N49" s="155">
        <f>+M49/M$5</f>
        <v>0.14290651963567882</v>
      </c>
      <c r="O49" s="185">
        <f>O25+O23</f>
        <v>127027.44000000012</v>
      </c>
      <c r="P49" s="155">
        <f>+O49/O$5</f>
        <v>0.2049723687547722</v>
      </c>
      <c r="Q49" s="193">
        <f>Q25+Q23</f>
        <v>505198.95999999973</v>
      </c>
      <c r="R49" s="209">
        <f>+Q49/Q$5</f>
        <v>0.30953683923329905</v>
      </c>
      <c r="S49" s="185">
        <f>S25+S23</f>
        <v>138085.96000000002</v>
      </c>
      <c r="T49" s="155">
        <f>+S49/S$5</f>
        <v>0.25659161883964204</v>
      </c>
      <c r="U49" s="185">
        <f>U25+U23</f>
        <v>154758.5299999999</v>
      </c>
      <c r="V49" s="155">
        <f>+U49/U$5</f>
        <v>0.2714947139954257</v>
      </c>
      <c r="W49" s="185">
        <f>W25+W23</f>
        <v>212354.46999999997</v>
      </c>
      <c r="X49" s="155">
        <f>+W49/W$5</f>
        <v>0.40530778837824655</v>
      </c>
      <c r="Y49" s="193">
        <f>Y25+Y23</f>
        <v>468562.8999999999</v>
      </c>
      <c r="Z49" s="209">
        <f>+Y49/Y$5</f>
        <v>0.2934617452254124</v>
      </c>
      <c r="AA49" s="185">
        <f>AA25+AA23</f>
        <v>257774.07999999996</v>
      </c>
      <c r="AB49" s="155">
        <f>+AA49/AA$5</f>
        <v>0.49220499363343856</v>
      </c>
      <c r="AC49" s="185">
        <f>AC25+AC23</f>
        <v>117551.37</v>
      </c>
      <c r="AD49" s="155">
        <f>+AC49/AC$5</f>
        <v>0.2209695912354575</v>
      </c>
      <c r="AE49" s="185">
        <f>AE25+AE23</f>
        <v>93237.44999999995</v>
      </c>
      <c r="AF49" s="155">
        <f>+AE49/AE$5</f>
        <v>0.1723485732469582</v>
      </c>
      <c r="AG49" s="193">
        <f>AG25+AG23</f>
        <v>191409.90000000037</v>
      </c>
      <c r="AH49" s="209">
        <f>+AG49/AG$5</f>
        <v>0.10084184890973966</v>
      </c>
      <c r="AI49" s="67">
        <f>AI25+AI23</f>
        <v>162358.57</v>
      </c>
      <c r="AJ49" s="155">
        <f>+AI49/AI$5</f>
        <v>0.26810228591907487</v>
      </c>
      <c r="AK49" s="67">
        <f>AK25+AK23</f>
        <v>24674.68000000005</v>
      </c>
      <c r="AL49" s="155">
        <f>+AK49/AK$5</f>
        <v>0.0363604233961339</v>
      </c>
      <c r="AM49" s="67">
        <f>AM25+AM23</f>
        <v>4376.650000000023</v>
      </c>
      <c r="AN49" s="155">
        <f>+AM49/AM$5</f>
        <v>0.0071290046297605054</v>
      </c>
    </row>
    <row r="50" spans="2:40" ht="10.5" customHeight="1">
      <c r="B50" s="110"/>
      <c r="C50" s="156"/>
      <c r="D50" s="156"/>
      <c r="E50" s="156"/>
      <c r="F50" s="156"/>
      <c r="G50" s="253"/>
      <c r="H50" s="211"/>
      <c r="I50" s="210"/>
      <c r="J50" s="211"/>
      <c r="K50" s="150"/>
      <c r="L50" s="157"/>
      <c r="M50" s="150"/>
      <c r="N50" s="157"/>
      <c r="O50" s="150"/>
      <c r="P50" s="157"/>
      <c r="Q50" s="210"/>
      <c r="R50" s="211"/>
      <c r="S50" s="150"/>
      <c r="T50" s="157"/>
      <c r="U50" s="150"/>
      <c r="V50" s="157"/>
      <c r="W50" s="150"/>
      <c r="X50" s="157"/>
      <c r="Y50" s="210"/>
      <c r="Z50" s="211"/>
      <c r="AA50" s="150"/>
      <c r="AB50" s="157"/>
      <c r="AC50" s="150"/>
      <c r="AD50" s="157"/>
      <c r="AE50" s="150"/>
      <c r="AF50" s="157"/>
      <c r="AG50" s="210"/>
      <c r="AH50" s="211"/>
      <c r="AI50" s="150"/>
      <c r="AJ50" s="157"/>
      <c r="AK50" s="150"/>
      <c r="AL50" s="157"/>
      <c r="AM50" s="150"/>
      <c r="AN50" s="157"/>
    </row>
    <row r="51" spans="2:40" ht="12.75">
      <c r="B51" s="68"/>
      <c r="C51" s="154" t="s">
        <v>31</v>
      </c>
      <c r="D51" s="50"/>
      <c r="E51" s="50"/>
      <c r="F51" s="50"/>
      <c r="G51" s="197">
        <f>G53+G60</f>
        <v>-247443.32</v>
      </c>
      <c r="H51" s="198">
        <f>+G51/G$5</f>
        <v>-0.038748973478783505</v>
      </c>
      <c r="I51" s="197">
        <f>I53+I60</f>
        <v>-7931.539999999994</v>
      </c>
      <c r="J51" s="198">
        <f>+I51/I$5</f>
        <v>-0.0063003912085126765</v>
      </c>
      <c r="K51" s="64">
        <f>K53+K60</f>
        <v>0</v>
      </c>
      <c r="L51" s="151" t="e">
        <f>+K51/K$5</f>
        <v>#DIV/0!</v>
      </c>
      <c r="M51" s="64">
        <f>M53+M60</f>
        <v>-11765.09</v>
      </c>
      <c r="N51" s="151">
        <f>+M51/M$5</f>
        <v>-0.018406915189672305</v>
      </c>
      <c r="O51" s="64">
        <f>O53+O60</f>
        <v>3833.550000000003</v>
      </c>
      <c r="P51" s="151">
        <f>+O51/O$5</f>
        <v>0.0061858431866363426</v>
      </c>
      <c r="Q51" s="197">
        <f>Q53+Q60</f>
        <v>-59095.90000000001</v>
      </c>
      <c r="R51" s="198">
        <f>+Q51/Q$5</f>
        <v>-0.036208225958436514</v>
      </c>
      <c r="S51" s="64">
        <f>S53+S60</f>
        <v>-25743.509999999995</v>
      </c>
      <c r="T51" s="151">
        <f>+S51/S$5</f>
        <v>-0.047836643968108786</v>
      </c>
      <c r="U51" s="64">
        <f>U53+U60</f>
        <v>-20233.24</v>
      </c>
      <c r="V51" s="151">
        <f>+U51/U$5</f>
        <v>-0.035495411509794066</v>
      </c>
      <c r="W51" s="64">
        <f>W53+W60</f>
        <v>-13119.150000000001</v>
      </c>
      <c r="X51" s="151">
        <f>+W51/W$5</f>
        <v>-0.025039706825584953</v>
      </c>
      <c r="Y51" s="197">
        <f>Y53+Y60</f>
        <v>-27864.4</v>
      </c>
      <c r="Z51" s="198">
        <f>+Y51/Y$5</f>
        <v>-0.01745152135104803</v>
      </c>
      <c r="AA51" s="64">
        <f>AA53+AA60</f>
        <v>-7940.829999999998</v>
      </c>
      <c r="AB51" s="151">
        <f>+AA51/AA$5</f>
        <v>-0.015162564752802988</v>
      </c>
      <c r="AC51" s="64">
        <f>AC53+AC60</f>
        <v>-12562.300000000003</v>
      </c>
      <c r="AD51" s="151">
        <f>+AC51/AC$5</f>
        <v>-0.023614240276205956</v>
      </c>
      <c r="AE51" s="64">
        <f>AE53+AE60</f>
        <v>-7361.270000000004</v>
      </c>
      <c r="AF51" s="151">
        <f>+AE51/AE$5</f>
        <v>-0.013607240242902796</v>
      </c>
      <c r="AG51" s="197">
        <f>AG53+AG60</f>
        <v>-152551.48</v>
      </c>
      <c r="AH51" s="198">
        <f>+AG51/AG$5</f>
        <v>-0.08036978911287838</v>
      </c>
      <c r="AI51" s="64">
        <f>AI53+AI60</f>
        <v>31481.53</v>
      </c>
      <c r="AJ51" s="151">
        <f>+AI51/AI$5</f>
        <v>0.051985368910491964</v>
      </c>
      <c r="AK51" s="64">
        <f>AK53+AK60</f>
        <v>-100820.40000000001</v>
      </c>
      <c r="AL51" s="151">
        <f>+AK51/AK$5</f>
        <v>-0.1485681853206433</v>
      </c>
      <c r="AM51" s="64">
        <f>AM53+AM60</f>
        <v>-83212.61</v>
      </c>
      <c r="AN51" s="151">
        <f>+AM51/AM$5</f>
        <v>-0.13554272832976186</v>
      </c>
    </row>
    <row r="52" spans="2:40" ht="7.5" customHeight="1">
      <c r="B52" s="62"/>
      <c r="C52" s="53"/>
      <c r="D52" s="17"/>
      <c r="E52" s="17"/>
      <c r="F52" s="17"/>
      <c r="G52" s="206"/>
      <c r="H52" s="198"/>
      <c r="I52" s="212"/>
      <c r="J52" s="198"/>
      <c r="K52" s="63"/>
      <c r="L52" s="151"/>
      <c r="M52" s="63"/>
      <c r="N52" s="151"/>
      <c r="O52" s="63"/>
      <c r="P52" s="151"/>
      <c r="Q52" s="212"/>
      <c r="R52" s="198"/>
      <c r="S52" s="63"/>
      <c r="T52" s="151"/>
      <c r="U52" s="63"/>
      <c r="V52" s="151"/>
      <c r="W52" s="63"/>
      <c r="X52" s="151"/>
      <c r="Y52" s="212"/>
      <c r="Z52" s="198"/>
      <c r="AA52" s="63"/>
      <c r="AB52" s="151"/>
      <c r="AC52" s="63"/>
      <c r="AD52" s="151"/>
      <c r="AE52" s="63"/>
      <c r="AF52" s="151"/>
      <c r="AG52" s="212"/>
      <c r="AH52" s="198"/>
      <c r="AI52" s="63"/>
      <c r="AJ52" s="151"/>
      <c r="AK52" s="63"/>
      <c r="AL52" s="151"/>
      <c r="AM52" s="63"/>
      <c r="AN52" s="151"/>
    </row>
    <row r="53" spans="2:40" ht="15" customHeight="1">
      <c r="B53" s="68" t="s">
        <v>32</v>
      </c>
      <c r="C53" s="154" t="s">
        <v>263</v>
      </c>
      <c r="D53" s="50" t="s">
        <v>233</v>
      </c>
      <c r="E53" s="50"/>
      <c r="F53" s="50"/>
      <c r="G53" s="197">
        <f>SUM(G54:G58)</f>
        <v>357800.96</v>
      </c>
      <c r="H53" s="198">
        <f aca="true" t="shared" si="42" ref="H53:H58">+G53/G$5</f>
        <v>0.05603068981503836</v>
      </c>
      <c r="I53" s="197">
        <f>SUM(I54:I58)</f>
        <v>82137.05</v>
      </c>
      <c r="J53" s="198">
        <f aca="true" t="shared" si="43" ref="J53:J58">+I53/I$5</f>
        <v>0.0652452799472948</v>
      </c>
      <c r="K53" s="171">
        <f>SUM(K54:K58)</f>
        <v>0</v>
      </c>
      <c r="L53" s="151" t="e">
        <f aca="true" t="shared" si="44" ref="L53:L58">+K53/K$5</f>
        <v>#DIV/0!</v>
      </c>
      <c r="M53" s="171">
        <f>SUM(M54:M58)</f>
        <v>30771.219999999998</v>
      </c>
      <c r="N53" s="151">
        <f aca="true" t="shared" si="45" ref="N53:N58">+M53/M$5</f>
        <v>0.04814270327067181</v>
      </c>
      <c r="O53" s="171">
        <f>SUM(O54:O58)</f>
        <v>51365.83</v>
      </c>
      <c r="P53" s="151">
        <f aca="true" t="shared" si="46" ref="P53:P58">+O53/O$5</f>
        <v>0.0828842638106769</v>
      </c>
      <c r="Q53" s="197">
        <f>SUM(Q54:Q58)</f>
        <v>83078.24</v>
      </c>
      <c r="R53" s="198">
        <f aca="true" t="shared" si="47" ref="R53:R58">+Q53/Q$5</f>
        <v>0.05090227386585564</v>
      </c>
      <c r="S53" s="64">
        <f>SUM(S54:S58)</f>
        <v>29829.25</v>
      </c>
      <c r="T53" s="151">
        <f aca="true" t="shared" si="48" ref="T53:T58">+S53/S$5</f>
        <v>0.05542877455660511</v>
      </c>
      <c r="U53" s="64">
        <f>SUM(U54:U58)</f>
        <v>32112.460000000003</v>
      </c>
      <c r="V53" s="151">
        <f aca="true" t="shared" si="49" ref="V53:V58">+U53/U$5</f>
        <v>0.0563352672281751</v>
      </c>
      <c r="W53" s="64">
        <f>SUM(W54:W58)</f>
        <v>21136.53</v>
      </c>
      <c r="X53" s="151">
        <f aca="true" t="shared" si="50" ref="X53:X58">+W53/W$5</f>
        <v>0.04034198210327506</v>
      </c>
      <c r="Y53" s="197">
        <f>SUM(Y54:Y58)</f>
        <v>50622.01</v>
      </c>
      <c r="Z53" s="198">
        <f aca="true" t="shared" si="51" ref="Z53:Z58">+Y53/Y$5</f>
        <v>0.03170465139561472</v>
      </c>
      <c r="AA53" s="64">
        <f>SUM(AA54:AA58)</f>
        <v>16096.740000000002</v>
      </c>
      <c r="AB53" s="151">
        <f aca="true" t="shared" si="52" ref="AB53:AB58">+AA53/AA$5</f>
        <v>0.030735812573626946</v>
      </c>
      <c r="AC53" s="64">
        <f>SUM(AC54:AC58)</f>
        <v>17257.46</v>
      </c>
      <c r="AD53" s="151">
        <f aca="true" t="shared" si="53" ref="AD53:AD58">+AC53/AC$5</f>
        <v>0.03244006328435184</v>
      </c>
      <c r="AE53" s="64">
        <f>SUM(AE54:AE58)</f>
        <v>17267.809999999998</v>
      </c>
      <c r="AF53" s="151">
        <f aca="true" t="shared" si="54" ref="AF53:AF58">+AE53/AE$5</f>
        <v>0.0319193887928033</v>
      </c>
      <c r="AG53" s="197">
        <f>SUM(AG54:AG58)</f>
        <v>141963.66</v>
      </c>
      <c r="AH53" s="198">
        <f aca="true" t="shared" si="55" ref="AH53:AJ58">+AG53/AG$5</f>
        <v>0.0747917320493539</v>
      </c>
      <c r="AI53" s="64">
        <f>SUM(AI54:AI58)</f>
        <v>68728.97</v>
      </c>
      <c r="AJ53" s="151">
        <f t="shared" si="55"/>
        <v>0.11349197006270455</v>
      </c>
      <c r="AK53" s="64">
        <f>SUM(AK54:AK58)</f>
        <v>37359.520000000004</v>
      </c>
      <c r="AL53" s="151">
        <f aca="true" t="shared" si="56" ref="AL53:AL58">+AK53/AK$5</f>
        <v>0.0550527084880667</v>
      </c>
      <c r="AM53" s="64">
        <f>SUM(AM54:AM58)</f>
        <v>35875.17</v>
      </c>
      <c r="AN53" s="151">
        <f aca="true" t="shared" si="57" ref="AN53:AN58">+AM53/AM$5</f>
        <v>0.0584360762280383</v>
      </c>
    </row>
    <row r="54" spans="2:40" ht="12.75">
      <c r="B54" s="62" t="s">
        <v>32</v>
      </c>
      <c r="C54" s="53" t="s">
        <v>264</v>
      </c>
      <c r="D54" s="17" t="s">
        <v>234</v>
      </c>
      <c r="E54" s="17"/>
      <c r="F54" s="17"/>
      <c r="G54" s="206">
        <f>AM54+AK54+AI54+AE54+AC54+AA54+W54+U54+S54+O54+M54+K54</f>
        <v>262772.29000000004</v>
      </c>
      <c r="H54" s="200">
        <f t="shared" si="42"/>
        <v>0.04114944988682341</v>
      </c>
      <c r="I54" s="213">
        <f>O54+M54+K54</f>
        <v>57268.66</v>
      </c>
      <c r="J54" s="200">
        <f t="shared" si="43"/>
        <v>0.04549116085745037</v>
      </c>
      <c r="K54" s="63"/>
      <c r="L54" s="152" t="e">
        <f t="shared" si="44"/>
        <v>#DIV/0!</v>
      </c>
      <c r="M54" s="63">
        <v>23764</v>
      </c>
      <c r="N54" s="152">
        <f t="shared" si="45"/>
        <v>0.03717965035264267</v>
      </c>
      <c r="O54" s="63">
        <v>33504.66</v>
      </c>
      <c r="P54" s="152">
        <f t="shared" si="46"/>
        <v>0.054063354536021985</v>
      </c>
      <c r="Q54" s="213">
        <f>W54+U54+S54</f>
        <v>70910.35</v>
      </c>
      <c r="R54" s="200">
        <f t="shared" si="47"/>
        <v>0.043446973065674924</v>
      </c>
      <c r="S54" s="63">
        <v>29829.25</v>
      </c>
      <c r="T54" s="152">
        <f t="shared" si="48"/>
        <v>0.05542877455660511</v>
      </c>
      <c r="U54" s="63">
        <v>27647.36</v>
      </c>
      <c r="V54" s="152">
        <f t="shared" si="49"/>
        <v>0.0485020896484903</v>
      </c>
      <c r="W54" s="63">
        <v>13433.74</v>
      </c>
      <c r="X54" s="152">
        <f t="shared" si="50"/>
        <v>0.025640145220622794</v>
      </c>
      <c r="Y54" s="213">
        <f>AE54+AC54+AA54</f>
        <v>26871.880000000005</v>
      </c>
      <c r="Z54" s="200">
        <f t="shared" si="51"/>
        <v>0.016829904378447072</v>
      </c>
      <c r="AA54" s="63">
        <v>8447.19</v>
      </c>
      <c r="AB54" s="152">
        <f t="shared" si="52"/>
        <v>0.01612943046938795</v>
      </c>
      <c r="AC54" s="63">
        <v>9583.77</v>
      </c>
      <c r="AD54" s="152">
        <f t="shared" si="53"/>
        <v>0.01801528760910775</v>
      </c>
      <c r="AE54" s="63">
        <f>8840.98-0.06</f>
        <v>8840.92</v>
      </c>
      <c r="AF54" s="152">
        <f t="shared" si="54"/>
        <v>0.016342359729813488</v>
      </c>
      <c r="AG54" s="213">
        <f>AM54+AK54+AI54</f>
        <v>107721.40000000001</v>
      </c>
      <c r="AH54" s="200">
        <f t="shared" si="55"/>
        <v>0.05675163689624</v>
      </c>
      <c r="AI54" s="63">
        <f>59601.95-0.34</f>
        <v>59601.61</v>
      </c>
      <c r="AJ54" s="152">
        <f t="shared" si="55"/>
        <v>0.09841998414655409</v>
      </c>
      <c r="AK54" s="63">
        <f>28275.9-1.51</f>
        <v>28274.390000000003</v>
      </c>
      <c r="AL54" s="152">
        <f t="shared" si="56"/>
        <v>0.04166492905551003</v>
      </c>
      <c r="AM54" s="63">
        <v>19845.4</v>
      </c>
      <c r="AN54" s="152">
        <f t="shared" si="57"/>
        <v>0.03232562541657395</v>
      </c>
    </row>
    <row r="55" spans="2:40" ht="12.75">
      <c r="B55" s="62" t="s">
        <v>32</v>
      </c>
      <c r="C55" s="53" t="s">
        <v>265</v>
      </c>
      <c r="D55" s="17" t="s">
        <v>235</v>
      </c>
      <c r="E55" s="17"/>
      <c r="F55" s="17"/>
      <c r="G55" s="206">
        <f>AM55+AK55+AI55+AE55+AC55+AA55+W55+U55+S55+O55+M55+K55</f>
        <v>87578.39</v>
      </c>
      <c r="H55" s="200">
        <f t="shared" si="42"/>
        <v>0.01371454566413253</v>
      </c>
      <c r="I55" s="213">
        <f>O55+M55+K55</f>
        <v>20776.050000000003</v>
      </c>
      <c r="J55" s="200">
        <f t="shared" si="43"/>
        <v>0.016503383046371816</v>
      </c>
      <c r="K55" s="63"/>
      <c r="L55" s="152" t="e">
        <f t="shared" si="44"/>
        <v>#DIV/0!</v>
      </c>
      <c r="M55" s="63">
        <v>6925.35</v>
      </c>
      <c r="N55" s="152">
        <f t="shared" si="45"/>
        <v>0.010834964297663436</v>
      </c>
      <c r="O55" s="63">
        <v>13850.7</v>
      </c>
      <c r="P55" s="152">
        <f t="shared" si="46"/>
        <v>0.02234958673426561</v>
      </c>
      <c r="Q55" s="213">
        <f>W55+U55+S55</f>
        <v>14695.86</v>
      </c>
      <c r="R55" s="200">
        <f t="shared" si="47"/>
        <v>0.009004195207003341</v>
      </c>
      <c r="S55" s="63">
        <v>0</v>
      </c>
      <c r="T55" s="152">
        <f t="shared" si="48"/>
        <v>0</v>
      </c>
      <c r="U55" s="63">
        <v>7035.07</v>
      </c>
      <c r="V55" s="152">
        <f t="shared" si="49"/>
        <v>0.012341706254174165</v>
      </c>
      <c r="W55" s="63">
        <v>7660.79</v>
      </c>
      <c r="X55" s="152">
        <f t="shared" si="50"/>
        <v>0.01462167409110902</v>
      </c>
      <c r="Y55" s="213">
        <f>AE55+AC55+AA55</f>
        <v>23563.239999999998</v>
      </c>
      <c r="Z55" s="200">
        <f t="shared" si="51"/>
        <v>0.014757697490700281</v>
      </c>
      <c r="AA55" s="63">
        <v>7649.55</v>
      </c>
      <c r="AB55" s="152">
        <f t="shared" si="52"/>
        <v>0.014606382104238994</v>
      </c>
      <c r="AC55" s="63">
        <v>7673.69</v>
      </c>
      <c r="AD55" s="152">
        <f t="shared" si="53"/>
        <v>0.01442477567524409</v>
      </c>
      <c r="AE55" s="63">
        <v>8240</v>
      </c>
      <c r="AF55" s="152">
        <f t="shared" si="54"/>
        <v>0.015231564607943872</v>
      </c>
      <c r="AG55" s="213">
        <f>AM55+AK55+AI55</f>
        <v>28543.239999999998</v>
      </c>
      <c r="AH55" s="200">
        <f t="shared" si="55"/>
        <v>0.01503763961777542</v>
      </c>
      <c r="AI55" s="63">
        <v>8989.12</v>
      </c>
      <c r="AJ55" s="152">
        <f t="shared" si="55"/>
        <v>0.014843710562373607</v>
      </c>
      <c r="AK55" s="63">
        <v>8885.48</v>
      </c>
      <c r="AL55" s="152">
        <f t="shared" si="56"/>
        <v>0.013093576689865041</v>
      </c>
      <c r="AM55" s="63">
        <v>10668.64</v>
      </c>
      <c r="AN55" s="152">
        <f t="shared" si="57"/>
        <v>0.017377853827298895</v>
      </c>
    </row>
    <row r="56" spans="2:40" ht="12.75" hidden="1">
      <c r="B56" s="62" t="s">
        <v>32</v>
      </c>
      <c r="C56" s="53" t="s">
        <v>266</v>
      </c>
      <c r="D56" s="17" t="s">
        <v>250</v>
      </c>
      <c r="E56" s="17"/>
      <c r="F56" s="17"/>
      <c r="G56" s="206">
        <f>AM56+AK56+AI56+AE56+AC56+AA56+W56+U56+S56+O56+M56+K56</f>
        <v>0</v>
      </c>
      <c r="H56" s="200">
        <f t="shared" si="42"/>
        <v>0</v>
      </c>
      <c r="I56" s="213">
        <f>O56+M56+K56</f>
        <v>0</v>
      </c>
      <c r="J56" s="200">
        <f t="shared" si="43"/>
        <v>0</v>
      </c>
      <c r="K56" s="63"/>
      <c r="L56" s="152" t="e">
        <f t="shared" si="44"/>
        <v>#DIV/0!</v>
      </c>
      <c r="M56" s="63"/>
      <c r="N56" s="152">
        <f t="shared" si="45"/>
        <v>0</v>
      </c>
      <c r="O56" s="63"/>
      <c r="P56" s="152">
        <f t="shared" si="46"/>
        <v>0</v>
      </c>
      <c r="Q56" s="213">
        <f>W56+U56+S56</f>
        <v>0</v>
      </c>
      <c r="R56" s="200">
        <f t="shared" si="47"/>
        <v>0</v>
      </c>
      <c r="S56" s="63"/>
      <c r="T56" s="152">
        <f t="shared" si="48"/>
        <v>0</v>
      </c>
      <c r="U56" s="63"/>
      <c r="V56" s="152">
        <f t="shared" si="49"/>
        <v>0</v>
      </c>
      <c r="W56" s="63"/>
      <c r="X56" s="152">
        <f t="shared" si="50"/>
        <v>0</v>
      </c>
      <c r="Y56" s="213">
        <f>AE56+AC56+AA56</f>
        <v>0</v>
      </c>
      <c r="Z56" s="200">
        <f t="shared" si="51"/>
        <v>0</v>
      </c>
      <c r="AA56" s="63"/>
      <c r="AB56" s="152">
        <f t="shared" si="52"/>
        <v>0</v>
      </c>
      <c r="AC56" s="63"/>
      <c r="AD56" s="152">
        <f t="shared" si="53"/>
        <v>0</v>
      </c>
      <c r="AE56" s="63">
        <v>0</v>
      </c>
      <c r="AF56" s="152">
        <f t="shared" si="54"/>
        <v>0</v>
      </c>
      <c r="AG56" s="213">
        <f>AM56+AK56+AI56</f>
        <v>0</v>
      </c>
      <c r="AH56" s="200">
        <f t="shared" si="55"/>
        <v>0</v>
      </c>
      <c r="AI56" s="63"/>
      <c r="AJ56" s="152">
        <f t="shared" si="55"/>
        <v>0</v>
      </c>
      <c r="AK56" s="63"/>
      <c r="AL56" s="152">
        <f t="shared" si="56"/>
        <v>0</v>
      </c>
      <c r="AM56" s="63">
        <v>0</v>
      </c>
      <c r="AN56" s="152">
        <f t="shared" si="57"/>
        <v>0</v>
      </c>
    </row>
    <row r="57" spans="2:40" ht="12.75">
      <c r="B57" s="62" t="s">
        <v>32</v>
      </c>
      <c r="C57" s="53" t="s">
        <v>267</v>
      </c>
      <c r="D57" s="17" t="s">
        <v>290</v>
      </c>
      <c r="E57" s="17"/>
      <c r="F57" s="17"/>
      <c r="G57" s="206">
        <f>AM57+AK57+AI57+AE57+AC57+AA57+W57+U57+S57+O57+M57+K57</f>
        <v>1544.23</v>
      </c>
      <c r="H57" s="200">
        <f t="shared" si="42"/>
        <v>0.00024182235881389663</v>
      </c>
      <c r="I57" s="213">
        <f>O57+M57+K57</f>
        <v>568.59</v>
      </c>
      <c r="J57" s="200">
        <f t="shared" si="43"/>
        <v>0.0004516574886148498</v>
      </c>
      <c r="K57" s="63"/>
      <c r="L57" s="152" t="e">
        <f t="shared" si="44"/>
        <v>#DIV/0!</v>
      </c>
      <c r="M57" s="63">
        <v>81.87</v>
      </c>
      <c r="N57" s="152">
        <f t="shared" si="45"/>
        <v>0.00012808862036571515</v>
      </c>
      <c r="O57" s="63">
        <v>486.72</v>
      </c>
      <c r="P57" s="152">
        <f t="shared" si="46"/>
        <v>0.0007853748081542275</v>
      </c>
      <c r="Q57" s="213">
        <f>W57+U57+S57</f>
        <v>89.72999999999999</v>
      </c>
      <c r="R57" s="200">
        <f t="shared" si="47"/>
        <v>5.497782613092461E-05</v>
      </c>
      <c r="S57" s="63">
        <v>0</v>
      </c>
      <c r="T57" s="152">
        <f t="shared" si="48"/>
        <v>0</v>
      </c>
      <c r="U57" s="63">
        <v>47.73</v>
      </c>
      <c r="V57" s="152">
        <f t="shared" si="49"/>
        <v>8.373330180250274E-05</v>
      </c>
      <c r="W57" s="63">
        <v>42</v>
      </c>
      <c r="X57" s="152">
        <f t="shared" si="50"/>
        <v>8.01627915432454E-05</v>
      </c>
      <c r="Y57" s="213">
        <f>AE57+AC57+AA57</f>
        <v>186.89</v>
      </c>
      <c r="Z57" s="200">
        <f t="shared" si="51"/>
        <v>0.00011704952646736933</v>
      </c>
      <c r="AA57" s="63">
        <v>0</v>
      </c>
      <c r="AB57" s="152">
        <f t="shared" si="52"/>
        <v>0</v>
      </c>
      <c r="AC57" s="63">
        <v>0</v>
      </c>
      <c r="AD57" s="152">
        <f t="shared" si="53"/>
        <v>0</v>
      </c>
      <c r="AE57" s="63">
        <v>186.89</v>
      </c>
      <c r="AF57" s="152">
        <f t="shared" si="54"/>
        <v>0.0003454644550459502</v>
      </c>
      <c r="AG57" s="213">
        <f>AM57+AK57+AI57</f>
        <v>699.02</v>
      </c>
      <c r="AH57" s="200">
        <f t="shared" si="55"/>
        <v>0.0003682697144969308</v>
      </c>
      <c r="AI57" s="63">
        <v>138.24</v>
      </c>
      <c r="AJ57" s="152">
        <f t="shared" si="55"/>
        <v>0.0002282753537768466</v>
      </c>
      <c r="AK57" s="63">
        <v>199.65</v>
      </c>
      <c r="AL57" s="152">
        <f t="shared" si="56"/>
        <v>0.00029420274269162226</v>
      </c>
      <c r="AM57" s="63">
        <v>361.13</v>
      </c>
      <c r="AN57" s="152">
        <f t="shared" si="57"/>
        <v>0.0005882347096398838</v>
      </c>
    </row>
    <row r="58" spans="2:40" ht="12.75">
      <c r="B58" s="62" t="s">
        <v>32</v>
      </c>
      <c r="C58" s="53" t="s">
        <v>268</v>
      </c>
      <c r="D58" s="17" t="s">
        <v>293</v>
      </c>
      <c r="E58" s="17"/>
      <c r="F58" s="17"/>
      <c r="G58" s="206">
        <f>AM58+AK58+AI58+AE58+AC58+AA58+W58+U58+S58+O58+M58+K58</f>
        <v>5906.05</v>
      </c>
      <c r="H58" s="200">
        <f t="shared" si="42"/>
        <v>0.0009248719052685249</v>
      </c>
      <c r="I58" s="213">
        <f>O58+M58+K58</f>
        <v>3523.75</v>
      </c>
      <c r="J58" s="200">
        <f t="shared" si="43"/>
        <v>0.0027990785548577656</v>
      </c>
      <c r="K58" s="63"/>
      <c r="L58" s="152" t="e">
        <f t="shared" si="44"/>
        <v>#DIV/0!</v>
      </c>
      <c r="M58" s="63">
        <v>0</v>
      </c>
      <c r="N58" s="152">
        <f t="shared" si="45"/>
        <v>0</v>
      </c>
      <c r="O58" s="63">
        <v>3523.75</v>
      </c>
      <c r="P58" s="152">
        <f t="shared" si="46"/>
        <v>0.005685947732235082</v>
      </c>
      <c r="Q58" s="213">
        <f>W58+U58+S58</f>
        <v>-2617.7</v>
      </c>
      <c r="R58" s="200">
        <f t="shared" si="47"/>
        <v>-0.0016038722329535424</v>
      </c>
      <c r="S58" s="63">
        <v>0</v>
      </c>
      <c r="T58" s="152">
        <f t="shared" si="48"/>
        <v>0</v>
      </c>
      <c r="U58" s="63">
        <v>-2617.7</v>
      </c>
      <c r="V58" s="152">
        <f t="shared" si="49"/>
        <v>-0.004592261976291879</v>
      </c>
      <c r="W58" s="63"/>
      <c r="X58" s="152">
        <f t="shared" si="50"/>
        <v>0</v>
      </c>
      <c r="Y58" s="213">
        <f>AE58+AC58+AA58</f>
        <v>0</v>
      </c>
      <c r="Z58" s="200">
        <f t="shared" si="51"/>
        <v>0</v>
      </c>
      <c r="AA58" s="63">
        <v>0</v>
      </c>
      <c r="AB58" s="152">
        <f t="shared" si="52"/>
        <v>0</v>
      </c>
      <c r="AC58" s="63">
        <v>0</v>
      </c>
      <c r="AD58" s="152">
        <f t="shared" si="53"/>
        <v>0</v>
      </c>
      <c r="AE58" s="63">
        <v>0</v>
      </c>
      <c r="AF58" s="152">
        <f t="shared" si="54"/>
        <v>0</v>
      </c>
      <c r="AG58" s="213">
        <f>AM58+AK58+AI58</f>
        <v>5000</v>
      </c>
      <c r="AH58" s="200">
        <f t="shared" si="55"/>
        <v>0.002634185820841541</v>
      </c>
      <c r="AI58" s="63"/>
      <c r="AJ58" s="152">
        <f t="shared" si="55"/>
        <v>0</v>
      </c>
      <c r="AK58" s="63"/>
      <c r="AL58" s="152">
        <f t="shared" si="56"/>
        <v>0</v>
      </c>
      <c r="AM58" s="63">
        <v>5000</v>
      </c>
      <c r="AN58" s="152">
        <f t="shared" si="57"/>
        <v>0.008144362274525571</v>
      </c>
    </row>
    <row r="59" spans="2:40" ht="12.75">
      <c r="B59" s="62"/>
      <c r="C59" s="53"/>
      <c r="D59" s="17"/>
      <c r="E59" s="17"/>
      <c r="F59" s="17"/>
      <c r="G59" s="206"/>
      <c r="H59" s="200"/>
      <c r="I59" s="214"/>
      <c r="J59" s="200"/>
      <c r="K59" s="63"/>
      <c r="L59" s="152"/>
      <c r="M59" s="63"/>
      <c r="N59" s="152"/>
      <c r="O59" s="63"/>
      <c r="P59" s="152"/>
      <c r="Q59" s="214"/>
      <c r="R59" s="200"/>
      <c r="S59" s="63"/>
      <c r="T59" s="152"/>
      <c r="U59" s="63"/>
      <c r="V59" s="152"/>
      <c r="W59" s="63"/>
      <c r="X59" s="152"/>
      <c r="Y59" s="214"/>
      <c r="Z59" s="200"/>
      <c r="AA59" s="63"/>
      <c r="AB59" s="152"/>
      <c r="AC59" s="63"/>
      <c r="AD59" s="152"/>
      <c r="AE59" s="63"/>
      <c r="AF59" s="152"/>
      <c r="AG59" s="214"/>
      <c r="AH59" s="200"/>
      <c r="AI59" s="63"/>
      <c r="AJ59" s="152"/>
      <c r="AK59" s="63"/>
      <c r="AL59" s="152"/>
      <c r="AM59" s="63"/>
      <c r="AN59" s="152"/>
    </row>
    <row r="60" spans="2:40" ht="12.75">
      <c r="B60" s="68" t="s">
        <v>84</v>
      </c>
      <c r="C60" s="154" t="s">
        <v>33</v>
      </c>
      <c r="D60" s="50" t="s">
        <v>236</v>
      </c>
      <c r="E60" s="50"/>
      <c r="F60" s="50"/>
      <c r="G60" s="197">
        <f>G61+G62</f>
        <v>-605244.28</v>
      </c>
      <c r="H60" s="198">
        <f>+G60/G$5</f>
        <v>-0.09477966329382186</v>
      </c>
      <c r="I60" s="197">
        <f>I61+I62</f>
        <v>-90068.59</v>
      </c>
      <c r="J60" s="198">
        <f>+I60/I$5</f>
        <v>-0.07154567115580747</v>
      </c>
      <c r="K60" s="64">
        <f>K61+K62</f>
        <v>0</v>
      </c>
      <c r="L60" s="151" t="e">
        <f>+K60/K$5</f>
        <v>#DIV/0!</v>
      </c>
      <c r="M60" s="64">
        <f>M61+M62</f>
        <v>-42536.31</v>
      </c>
      <c r="N60" s="151">
        <f>+M60/M$5</f>
        <v>-0.06654961846034411</v>
      </c>
      <c r="O60" s="64">
        <f>O61+O62</f>
        <v>-47532.28</v>
      </c>
      <c r="P60" s="151">
        <f>+O60/O$5</f>
        <v>-0.07669842062404056</v>
      </c>
      <c r="Q60" s="197">
        <f>Q61+Q62</f>
        <v>-142174.14</v>
      </c>
      <c r="R60" s="198">
        <f>+Q60/Q$5</f>
        <v>-0.08711049982429216</v>
      </c>
      <c r="S60" s="64">
        <f>S61+S62</f>
        <v>-55572.759999999995</v>
      </c>
      <c r="T60" s="151">
        <f>+S60/S$5</f>
        <v>-0.1032654185247139</v>
      </c>
      <c r="U60" s="64">
        <f>U61+U62</f>
        <v>-52345.700000000004</v>
      </c>
      <c r="V60" s="151">
        <f>+U60/U$5</f>
        <v>-0.09183067873796916</v>
      </c>
      <c r="W60" s="64">
        <f>W61+W62</f>
        <v>-34255.68</v>
      </c>
      <c r="X60" s="151">
        <f>+W60/W$5</f>
        <v>-0.06538168892886001</v>
      </c>
      <c r="Y60" s="197">
        <f>Y61+Y62</f>
        <v>-78486.41</v>
      </c>
      <c r="Z60" s="198">
        <f>+Y60/Y$5</f>
        <v>-0.04915617274666275</v>
      </c>
      <c r="AA60" s="64">
        <f>AA61+AA62</f>
        <v>-24037.57</v>
      </c>
      <c r="AB60" s="151">
        <f>+AA60/AA$5</f>
        <v>-0.045898377326429936</v>
      </c>
      <c r="AC60" s="64">
        <f>AC61+AC62</f>
        <v>-29819.760000000002</v>
      </c>
      <c r="AD60" s="151">
        <f>+AC60/AC$5</f>
        <v>-0.0560543035605578</v>
      </c>
      <c r="AE60" s="64">
        <f>AE61+AE62</f>
        <v>-24629.08</v>
      </c>
      <c r="AF60" s="151">
        <f>+AE60/AE$5</f>
        <v>-0.045526629035706104</v>
      </c>
      <c r="AG60" s="197">
        <f>AG61+AG62</f>
        <v>-294515.14</v>
      </c>
      <c r="AH60" s="198">
        <f>+AG60/AG$5</f>
        <v>-0.15516152116223228</v>
      </c>
      <c r="AI60" s="64">
        <f>AI61+AI62</f>
        <v>-37247.44</v>
      </c>
      <c r="AJ60" s="151">
        <f>+AI60/AI$5</f>
        <v>-0.061506601152212584</v>
      </c>
      <c r="AK60" s="64">
        <f>AK61+AK62</f>
        <v>-138179.92</v>
      </c>
      <c r="AL60" s="151">
        <f>+AK60/AK$5</f>
        <v>-0.20362089380870999</v>
      </c>
      <c r="AM60" s="64">
        <f>AM61+AM62</f>
        <v>-119087.78</v>
      </c>
      <c r="AN60" s="151">
        <f>+AM60/AM$5</f>
        <v>-0.19397880455780014</v>
      </c>
    </row>
    <row r="61" spans="2:40" ht="12.75">
      <c r="B61" s="62" t="s">
        <v>84</v>
      </c>
      <c r="C61" s="53" t="s">
        <v>204</v>
      </c>
      <c r="D61" s="17" t="s">
        <v>236</v>
      </c>
      <c r="E61" s="17"/>
      <c r="F61" s="17"/>
      <c r="G61" s="206">
        <f>AM61+AK61+AI61+AE61+AC61+AA61+W61+U61+S61+O61+M61+K61</f>
        <v>-456681.93000000005</v>
      </c>
      <c r="H61" s="200">
        <f>+G61/G$5</f>
        <v>-0.07151518979703984</v>
      </c>
      <c r="I61" s="213">
        <f>O61+M61+K61</f>
        <v>-63833.78999999999</v>
      </c>
      <c r="J61" s="200">
        <f>+I61/I$5</f>
        <v>-0.05070614903562797</v>
      </c>
      <c r="K61" s="63"/>
      <c r="L61" s="152" t="e">
        <f>+K61/K$5</f>
        <v>#DIV/0!</v>
      </c>
      <c r="M61" s="63">
        <v>-28884.55</v>
      </c>
      <c r="N61" s="152">
        <f>+M61/M$5</f>
        <v>-0.04519093879790543</v>
      </c>
      <c r="O61" s="63">
        <v>-34949.24</v>
      </c>
      <c r="P61" s="152">
        <f>+O61/O$5</f>
        <v>-0.05639433896313291</v>
      </c>
      <c r="Q61" s="213">
        <f>W61+U61+S61</f>
        <v>-101941.42</v>
      </c>
      <c r="R61" s="200">
        <f>+Q61/Q$5</f>
        <v>-0.062459797885874975</v>
      </c>
      <c r="S61" s="63">
        <v>-39261.95</v>
      </c>
      <c r="T61" s="152">
        <f>+S61/S$5</f>
        <v>-0.07295663736777498</v>
      </c>
      <c r="U61" s="63">
        <v>-40018.83</v>
      </c>
      <c r="V61" s="152">
        <f>+U61/U$5</f>
        <v>-0.07020550534617748</v>
      </c>
      <c r="W61" s="63">
        <v>-22660.64</v>
      </c>
      <c r="X61" s="152">
        <f>+W61/W$5</f>
        <v>-0.04325095620372686</v>
      </c>
      <c r="Y61" s="213">
        <f>AE61+AC61+AA61</f>
        <v>-42887.31</v>
      </c>
      <c r="Z61" s="200">
        <f>+Y61/Y$5</f>
        <v>-0.026860395564017727</v>
      </c>
      <c r="AA61" s="63">
        <f>-14789.39+2144.24</f>
        <v>-12645.15</v>
      </c>
      <c r="AB61" s="152">
        <f>+AA61/AA$5</f>
        <v>-0.02414519712472207</v>
      </c>
      <c r="AC61" s="63">
        <v>-18427.34</v>
      </c>
      <c r="AD61" s="152">
        <f>+AC61/AC$5</f>
        <v>-0.0346391691339437</v>
      </c>
      <c r="AE61" s="63">
        <v>-11814.82</v>
      </c>
      <c r="AF61" s="152">
        <f>+AE61/AE$5</f>
        <v>-0.02183958667005187</v>
      </c>
      <c r="AG61" s="213">
        <f>AM61+AK61+AI61</f>
        <v>-248019.41</v>
      </c>
      <c r="AH61" s="200">
        <f>+AG61/AG$5</f>
        <v>-0.13066584262309694</v>
      </c>
      <c r="AI61" s="63">
        <v>-22009.69</v>
      </c>
      <c r="AJ61" s="152">
        <f>+AI61/AI$5</f>
        <v>-0.03634454406299712</v>
      </c>
      <c r="AK61" s="63">
        <v>-132367.22</v>
      </c>
      <c r="AL61" s="152">
        <f>+AK61/AK$5</f>
        <v>-0.19505534268202032</v>
      </c>
      <c r="AM61" s="63">
        <v>-93642.5</v>
      </c>
      <c r="AN61" s="152">
        <f>+AM61/AM$5</f>
        <v>-0.15253168885845214</v>
      </c>
    </row>
    <row r="62" spans="2:40" ht="12.75">
      <c r="B62" s="62" t="s">
        <v>84</v>
      </c>
      <c r="C62" s="53" t="s">
        <v>205</v>
      </c>
      <c r="D62" s="17" t="s">
        <v>237</v>
      </c>
      <c r="E62" s="17"/>
      <c r="F62" s="17"/>
      <c r="G62" s="206">
        <f>AM62+AK62+AI62+AE62+AC62+AA62+W62+U62+S62+O62+M62+K62</f>
        <v>-148562.35</v>
      </c>
      <c r="H62" s="200">
        <f>+G62/G$5</f>
        <v>-0.02326447349678202</v>
      </c>
      <c r="I62" s="213">
        <f>O62+M62+K62</f>
        <v>-26234.800000000003</v>
      </c>
      <c r="J62" s="200">
        <f>+I62/I$5</f>
        <v>-0.0208395221201795</v>
      </c>
      <c r="K62" s="63"/>
      <c r="L62" s="152" t="e">
        <f>+K62/K$5</f>
        <v>#DIV/0!</v>
      </c>
      <c r="M62" s="63">
        <v>-13651.76</v>
      </c>
      <c r="N62" s="152">
        <f>+M62/M$5</f>
        <v>-0.02135867966243869</v>
      </c>
      <c r="O62" s="63">
        <v>-12583.04</v>
      </c>
      <c r="P62" s="152">
        <f>+O62/O$5</f>
        <v>-0.02030408166090765</v>
      </c>
      <c r="Q62" s="213">
        <f>W62+U62+S62</f>
        <v>-40232.72</v>
      </c>
      <c r="R62" s="200">
        <f>+Q62/Q$5</f>
        <v>-0.024650701938417178</v>
      </c>
      <c r="S62" s="63">
        <v>-16310.81</v>
      </c>
      <c r="T62" s="152">
        <f>+S62/S$5</f>
        <v>-0.030308781156938917</v>
      </c>
      <c r="U62" s="63">
        <f>-12331.76+4.89</f>
        <v>-12326.87</v>
      </c>
      <c r="V62" s="152">
        <f>+U62/U$5</f>
        <v>-0.021625173391791683</v>
      </c>
      <c r="W62" s="63">
        <v>-11595.04</v>
      </c>
      <c r="X62" s="152">
        <f>+W62/W$5</f>
        <v>-0.022130732725133148</v>
      </c>
      <c r="Y62" s="213">
        <f>AE62+AC62+AA62</f>
        <v>-35599.1</v>
      </c>
      <c r="Z62" s="200">
        <f>+Y62/Y$5</f>
        <v>-0.02229577718264502</v>
      </c>
      <c r="AA62" s="63">
        <v>-11392.42</v>
      </c>
      <c r="AB62" s="152">
        <f>+AA62/AA$5</f>
        <v>-0.021753180201707866</v>
      </c>
      <c r="AC62" s="63">
        <v>-11392.42</v>
      </c>
      <c r="AD62" s="152">
        <f>+AC62/AC$5</f>
        <v>-0.02141513442661409</v>
      </c>
      <c r="AE62" s="63">
        <v>-12814.26</v>
      </c>
      <c r="AF62" s="152">
        <f>+AE62/AE$5</f>
        <v>-0.023687042365654228</v>
      </c>
      <c r="AG62" s="213">
        <f>AM62+AK62+AI62</f>
        <v>-46495.729999999996</v>
      </c>
      <c r="AH62" s="200">
        <f>+AG62/AG$5</f>
        <v>-0.02449567853913533</v>
      </c>
      <c r="AI62" s="63">
        <v>-15237.75</v>
      </c>
      <c r="AJ62" s="152">
        <f>+AI62/AI$5</f>
        <v>-0.025162057089215453</v>
      </c>
      <c r="AK62" s="63">
        <f>-6430.65+617.95</f>
        <v>-5812.7</v>
      </c>
      <c r="AL62" s="152">
        <f>+AK62/AK$5</f>
        <v>-0.00856555112668967</v>
      </c>
      <c r="AM62" s="63">
        <v>-25445.28</v>
      </c>
      <c r="AN62" s="152">
        <f>+AM62/AM$5</f>
        <v>-0.041447115699347996</v>
      </c>
    </row>
    <row r="63" spans="2:40" ht="12.75">
      <c r="B63" s="158"/>
      <c r="C63" s="159"/>
      <c r="D63" s="159"/>
      <c r="E63" s="159"/>
      <c r="F63" s="159"/>
      <c r="G63" s="217"/>
      <c r="H63" s="216"/>
      <c r="I63" s="215"/>
      <c r="J63" s="216"/>
      <c r="K63" s="160"/>
      <c r="L63" s="161"/>
      <c r="M63" s="160"/>
      <c r="N63" s="161"/>
      <c r="O63" s="160"/>
      <c r="P63" s="161"/>
      <c r="Q63" s="215"/>
      <c r="R63" s="216"/>
      <c r="S63" s="160"/>
      <c r="T63" s="161"/>
      <c r="U63" s="160"/>
      <c r="V63" s="161"/>
      <c r="W63" s="160"/>
      <c r="X63" s="161"/>
      <c r="Y63" s="215"/>
      <c r="Z63" s="216"/>
      <c r="AA63" s="160"/>
      <c r="AB63" s="161"/>
      <c r="AC63" s="160"/>
      <c r="AD63" s="161"/>
      <c r="AE63" s="160"/>
      <c r="AF63" s="161"/>
      <c r="AG63" s="215"/>
      <c r="AH63" s="216"/>
      <c r="AI63" s="160"/>
      <c r="AJ63" s="161"/>
      <c r="AK63" s="160"/>
      <c r="AL63" s="161"/>
      <c r="AM63" s="160"/>
      <c r="AN63" s="161"/>
    </row>
    <row r="64" spans="2:44" ht="12.75">
      <c r="B64" s="111"/>
      <c r="C64" s="147" t="s">
        <v>34</v>
      </c>
      <c r="D64" s="147" t="s">
        <v>119</v>
      </c>
      <c r="E64" s="147"/>
      <c r="F64" s="147"/>
      <c r="G64" s="217">
        <f>G49+G51</f>
        <v>1136096.9899999995</v>
      </c>
      <c r="H64" s="209">
        <f>+G64/G$5</f>
        <v>0.17790980227243858</v>
      </c>
      <c r="I64" s="217">
        <f>I49+I51</f>
        <v>210437.00999999995</v>
      </c>
      <c r="J64" s="218">
        <f>+I64/I$5</f>
        <v>0.16715990687176702</v>
      </c>
      <c r="K64" s="162">
        <f>K49+K51</f>
        <v>0</v>
      </c>
      <c r="L64" s="65" t="e">
        <f>+K64/K$5</f>
        <v>#DIV/0!</v>
      </c>
      <c r="M64" s="162">
        <f>M49+M51</f>
        <v>79576.01999999999</v>
      </c>
      <c r="N64" s="65">
        <f>+M64/M$5</f>
        <v>0.12449960444600654</v>
      </c>
      <c r="O64" s="162">
        <f>O49+O51</f>
        <v>130860.99000000012</v>
      </c>
      <c r="P64" s="65">
        <f>+O64/O$5</f>
        <v>0.21115821194140855</v>
      </c>
      <c r="Q64" s="217">
        <f>Q49+Q51</f>
        <v>446103.0599999997</v>
      </c>
      <c r="R64" s="218">
        <f>+Q64/Q$5</f>
        <v>0.2733286132748625</v>
      </c>
      <c r="S64" s="160">
        <f>S49+S51</f>
        <v>112342.45000000003</v>
      </c>
      <c r="T64" s="251">
        <f>+S64/S$5</f>
        <v>0.20875497487153324</v>
      </c>
      <c r="U64" s="160">
        <f>U49+U51</f>
        <v>134525.28999999992</v>
      </c>
      <c r="V64" s="251">
        <f>+U64/U$5</f>
        <v>0.2359993024856316</v>
      </c>
      <c r="W64" s="160">
        <f>W49+W51</f>
        <v>199235.31999999998</v>
      </c>
      <c r="X64" s="65">
        <f>+W64/W$5</f>
        <v>0.3802680815526616</v>
      </c>
      <c r="Y64" s="217">
        <f>Y49+Y51</f>
        <v>440698.4999999999</v>
      </c>
      <c r="Z64" s="218">
        <f>+Y64/Y$5</f>
        <v>0.27601022387436436</v>
      </c>
      <c r="AA64" s="162">
        <f>AA49+AA51</f>
        <v>249833.24999999997</v>
      </c>
      <c r="AB64" s="65">
        <f>+AA64/AA$5</f>
        <v>0.4770424288806356</v>
      </c>
      <c r="AC64" s="162">
        <f>AC49+AC51</f>
        <v>104989.06999999999</v>
      </c>
      <c r="AD64" s="65">
        <f>+AC64/AC$5</f>
        <v>0.19735535095925155</v>
      </c>
      <c r="AE64" s="162">
        <f>AE49+AE51</f>
        <v>85876.17999999995</v>
      </c>
      <c r="AF64" s="65">
        <f>+AE64/AE$5</f>
        <v>0.1587413330040554</v>
      </c>
      <c r="AG64" s="217">
        <f>AG49+AG51</f>
        <v>38858.42000000036</v>
      </c>
      <c r="AH64" s="218">
        <f>+AG64/AG$5</f>
        <v>0.020472059796861262</v>
      </c>
      <c r="AI64" s="162">
        <f>AI49+AI51</f>
        <v>193840.1</v>
      </c>
      <c r="AJ64" s="65">
        <f>+AI64/AI$5</f>
        <v>0.32008765482956686</v>
      </c>
      <c r="AK64" s="162">
        <f>AK49+AK51</f>
        <v>-76145.71999999996</v>
      </c>
      <c r="AL64" s="65">
        <f>+AK64/AK$5</f>
        <v>-0.1122077619245094</v>
      </c>
      <c r="AM64" s="162">
        <f>AM49+AM51</f>
        <v>-78835.95999999998</v>
      </c>
      <c r="AN64" s="65">
        <f>+AM64/AM$5</f>
        <v>-0.12841372370000134</v>
      </c>
      <c r="AR64" s="221"/>
    </row>
    <row r="65" spans="2:44" ht="12.75" hidden="1">
      <c r="B65" s="17"/>
      <c r="C65" s="17"/>
      <c r="D65" s="222"/>
      <c r="E65" s="222"/>
      <c r="F65" s="223"/>
      <c r="G65" s="22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row>
    <row r="66" spans="2:44" ht="12.75" hidden="1">
      <c r="B66" s="50"/>
      <c r="C66" s="50"/>
      <c r="D66" s="222"/>
      <c r="E66" s="222"/>
      <c r="F66" s="223"/>
      <c r="G66" s="223">
        <f>U64+W64+AA64+AC64+AE64+AI64+AK64+AM64+S64+O64+M64+K64</f>
        <v>1136096.99</v>
      </c>
      <c r="H66" s="183"/>
      <c r="I66" s="183">
        <f>BALANCO!E101-BALANCO!K101</f>
        <v>-925659.9799999995</v>
      </c>
      <c r="J66" s="183"/>
      <c r="K66" s="183">
        <f>BALANCO!E101-BALANCO!G101</f>
        <v>-1136096.99</v>
      </c>
      <c r="L66" s="183"/>
      <c r="M66" s="183">
        <f>BALANCO!G101-BALANCO!I101</f>
        <v>79576.02000000002</v>
      </c>
      <c r="N66" s="183"/>
      <c r="O66" s="183">
        <f>BALANCO!I101-BALANCO!K101</f>
        <v>130860.99000000046</v>
      </c>
      <c r="P66" s="183"/>
      <c r="Q66" s="183">
        <f>BALANCO!K101-BALANCO!Q101</f>
        <v>446103.0599999996</v>
      </c>
      <c r="R66" s="183"/>
      <c r="S66" s="183">
        <f>BALANCO!K101-BALANCO!M101</f>
        <v>112342.44999999925</v>
      </c>
      <c r="T66" s="183"/>
      <c r="U66" s="183">
        <f>BALANCO!M101-BALANCO!O101</f>
        <v>134525.2900000005</v>
      </c>
      <c r="V66" s="183"/>
      <c r="W66" s="183">
        <f>BALANCO!O101-BALANCO!Q101</f>
        <v>199235.31999999983</v>
      </c>
      <c r="X66" s="183"/>
      <c r="Y66" s="183">
        <f>BALANCO!Q101-BALANCO!W101</f>
        <v>440698.49999999977</v>
      </c>
      <c r="Z66" s="183"/>
      <c r="AA66" s="183">
        <f>BALANCO!Q101-BALANCO!S101</f>
        <v>249833.25</v>
      </c>
      <c r="AB66" s="183"/>
      <c r="AC66" s="183">
        <f>BALANCO!S101-BALANCO!U101</f>
        <v>104989.06999999983</v>
      </c>
      <c r="AD66" s="183"/>
      <c r="AE66" s="183">
        <f>BALANCO!U101-BALANCO!W101</f>
        <v>85876.17999999993</v>
      </c>
      <c r="AF66" s="183"/>
      <c r="AG66" s="183">
        <f>BALANCO!W101</f>
        <v>38858.42000000016</v>
      </c>
      <c r="AH66" s="183"/>
      <c r="AI66" s="183">
        <f>BALANCO!W101-BALANCO!Y101</f>
        <v>193840.1000000001</v>
      </c>
      <c r="AJ66" s="183"/>
      <c r="AK66" s="183">
        <f>BALANCO!Y101-BALANCO!AA101</f>
        <v>-76145.71999999997</v>
      </c>
      <c r="AL66" s="183"/>
      <c r="AM66" s="183">
        <f>BALANCO!AA101</f>
        <v>-78835.95999999996</v>
      </c>
      <c r="AN66" s="183"/>
      <c r="AO66" s="183"/>
      <c r="AP66" s="183"/>
      <c r="AQ66" s="183"/>
      <c r="AR66" s="183"/>
    </row>
    <row r="67" spans="2:44" ht="12.75" hidden="1">
      <c r="B67" s="50"/>
      <c r="C67" s="50"/>
      <c r="D67" s="222"/>
      <c r="E67" s="222"/>
      <c r="F67" s="223"/>
      <c r="G67" s="223">
        <f>G66-G64</f>
        <v>0</v>
      </c>
      <c r="H67" s="183"/>
      <c r="I67" s="183">
        <f>I64-I66</f>
        <v>1136096.9899999995</v>
      </c>
      <c r="J67" s="183"/>
      <c r="K67" s="183">
        <f>K64-K66</f>
        <v>1136096.99</v>
      </c>
      <c r="L67" s="183"/>
      <c r="M67" s="183">
        <f>M64-M66</f>
        <v>0</v>
      </c>
      <c r="N67" s="183"/>
      <c r="O67" s="183">
        <f>O64-O66</f>
        <v>-3.346940502524376E-10</v>
      </c>
      <c r="P67" s="183"/>
      <c r="Q67" s="183">
        <f>Q64-Q66</f>
        <v>0</v>
      </c>
      <c r="R67" s="183"/>
      <c r="S67" s="183">
        <f>S64-S66</f>
        <v>7.712515071034431E-10</v>
      </c>
      <c r="T67" s="183"/>
      <c r="U67" s="183">
        <f>U64-U66</f>
        <v>-5.820766091346741E-10</v>
      </c>
      <c r="V67" s="183"/>
      <c r="W67" s="183">
        <f>W64-W66</f>
        <v>0</v>
      </c>
      <c r="X67" s="183"/>
      <c r="Y67" s="183">
        <f>Y64-Y66</f>
        <v>0</v>
      </c>
      <c r="Z67" s="183"/>
      <c r="AA67" s="183">
        <f>AA64-AA66</f>
        <v>0</v>
      </c>
      <c r="AB67" s="183"/>
      <c r="AC67" s="183">
        <f>AC64-AC66</f>
        <v>1.6007106751203537E-10</v>
      </c>
      <c r="AD67" s="183"/>
      <c r="AE67" s="183">
        <f>AE64-AE66</f>
        <v>0</v>
      </c>
      <c r="AF67" s="183"/>
      <c r="AG67" s="183">
        <f>AG64-AG66</f>
        <v>2.0372681319713593E-10</v>
      </c>
      <c r="AH67" s="183"/>
      <c r="AI67" s="183">
        <f>AI64-AI66</f>
        <v>0</v>
      </c>
      <c r="AJ67" s="183"/>
      <c r="AK67" s="183">
        <f>AK64-AK66</f>
        <v>0</v>
      </c>
      <c r="AL67" s="183"/>
      <c r="AM67" s="183">
        <f>AM64-AM66</f>
        <v>0</v>
      </c>
      <c r="AN67" s="183"/>
      <c r="AO67" s="183"/>
      <c r="AP67" s="183"/>
      <c r="AQ67" s="183"/>
      <c r="AR67" s="183"/>
    </row>
    <row r="68" spans="2:44" ht="12.75" hidden="1">
      <c r="B68" s="50"/>
      <c r="C68" s="50"/>
      <c r="D68" s="222"/>
      <c r="E68" s="222"/>
      <c r="F68" s="223"/>
      <c r="G68" s="223">
        <f>G64-BALANCO!I101</f>
        <v>79576.01999999955</v>
      </c>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row>
    <row r="69" spans="2:44" ht="12.75" hidden="1">
      <c r="B69" s="50"/>
      <c r="C69" s="50"/>
      <c r="D69" s="222"/>
      <c r="E69" s="222"/>
      <c r="F69" s="223"/>
      <c r="G69" s="22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row>
    <row r="70" spans="6:41" ht="12.75">
      <c r="F70" s="116"/>
      <c r="G70" s="22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row>
    <row r="71" spans="6:41" ht="12.75">
      <c r="F71" s="116"/>
      <c r="G71" s="22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f>+AI64+AK64+AM64-AG64</f>
        <v>-2.9103830456733704E-10</v>
      </c>
      <c r="AJ71" s="183"/>
      <c r="AK71" s="183"/>
      <c r="AL71" s="183"/>
      <c r="AM71" s="183"/>
      <c r="AN71" s="183"/>
      <c r="AO71" s="183"/>
    </row>
    <row r="72" spans="6:38" ht="12.75">
      <c r="F72" s="116"/>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83"/>
      <c r="AJ72" s="169"/>
      <c r="AK72" s="183"/>
      <c r="AL72" s="183"/>
    </row>
    <row r="73" spans="6:38" ht="12.75">
      <c r="F73" s="116"/>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83"/>
      <c r="AH73" s="169"/>
      <c r="AI73" s="183"/>
      <c r="AJ73" s="169"/>
      <c r="AK73" s="183"/>
      <c r="AL73" s="183"/>
    </row>
    <row r="74" spans="6:38" ht="12.75">
      <c r="F74" s="116"/>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83"/>
      <c r="AJ74" s="169"/>
      <c r="AK74" s="183"/>
      <c r="AL74" s="183"/>
    </row>
    <row r="75" spans="6:38" ht="12.75">
      <c r="F75" s="116"/>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83"/>
      <c r="AJ75" s="169"/>
      <c r="AK75" s="183"/>
      <c r="AL75" s="183"/>
    </row>
    <row r="76" spans="6:38" ht="12.75">
      <c r="F76" s="116"/>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83"/>
      <c r="AJ76" s="169"/>
      <c r="AK76" s="183"/>
      <c r="AL76" s="183"/>
    </row>
    <row r="168" spans="6:8" ht="12.75">
      <c r="F168" s="17"/>
      <c r="H168" s="249"/>
    </row>
    <row r="169" spans="6:8" ht="12.75">
      <c r="F169" s="17"/>
      <c r="H169" s="249"/>
    </row>
    <row r="170" spans="6:8" ht="12.75">
      <c r="F170" s="17"/>
      <c r="H170" s="249"/>
    </row>
    <row r="171" spans="6:8" ht="12.75">
      <c r="F171" s="17"/>
      <c r="H171" s="249"/>
    </row>
    <row r="172" spans="6:8" ht="12.75">
      <c r="F172" s="17"/>
      <c r="H172" s="249"/>
    </row>
    <row r="173" spans="6:8" ht="12.75">
      <c r="F173" s="17"/>
      <c r="H173" s="249"/>
    </row>
    <row r="174" spans="6:8" ht="12.75">
      <c r="F174" s="17"/>
      <c r="H174" s="249"/>
    </row>
    <row r="175" spans="6:8" ht="12.75">
      <c r="F175" s="17"/>
      <c r="H175" s="249"/>
    </row>
    <row r="176" spans="6:8" ht="12.75">
      <c r="F176" s="17"/>
      <c r="H176" s="249"/>
    </row>
    <row r="177" spans="6:8" ht="12.75">
      <c r="F177" s="17"/>
      <c r="H177" s="249"/>
    </row>
    <row r="178" spans="6:8" ht="12.75">
      <c r="F178" s="17"/>
      <c r="H178" s="249"/>
    </row>
    <row r="179" spans="6:8" ht="12.75">
      <c r="F179" s="17"/>
      <c r="H179" s="249"/>
    </row>
    <row r="180" spans="6:8" ht="12.75">
      <c r="F180" s="17"/>
      <c r="H180" s="249"/>
    </row>
    <row r="181" spans="6:8" ht="12.75">
      <c r="F181" s="17"/>
      <c r="H181" s="249"/>
    </row>
    <row r="182" spans="6:8" ht="12.75">
      <c r="F182" s="17"/>
      <c r="H182" s="249"/>
    </row>
    <row r="183" spans="6:8" ht="12.75">
      <c r="F183" s="17"/>
      <c r="H183" s="249"/>
    </row>
    <row r="184" spans="6:8" ht="12.75">
      <c r="F184" s="17"/>
      <c r="H184" s="249"/>
    </row>
    <row r="185" spans="6:8" ht="12.75">
      <c r="F185" s="17"/>
      <c r="H185" s="249"/>
    </row>
    <row r="186" spans="6:8" ht="12.75">
      <c r="F186" s="17"/>
      <c r="H186" s="249"/>
    </row>
  </sheetData>
  <sheetProtection/>
  <mergeCells count="13">
    <mergeCell ref="D17:F17"/>
    <mergeCell ref="D9:F9"/>
    <mergeCell ref="D10:F10"/>
    <mergeCell ref="D11:F11"/>
    <mergeCell ref="D12:F12"/>
    <mergeCell ref="D13:F13"/>
    <mergeCell ref="D16:F16"/>
    <mergeCell ref="AG3:AH3"/>
    <mergeCell ref="Y3:Z3"/>
    <mergeCell ref="Q3:R3"/>
    <mergeCell ref="I3:J3"/>
    <mergeCell ref="D14:F14"/>
    <mergeCell ref="D15:F15"/>
  </mergeCells>
  <printOptions/>
  <pageMargins left="0.511811024" right="0.511811024" top="0.787401575" bottom="0.787401575" header="0.31496062" footer="0.31496062"/>
  <pageSetup orientation="landscape" paperSize="9" r:id="rId1"/>
  <ignoredErrors>
    <ignoredError sqref="AQ7:AR7 AP53:AR62 AP5:AR6 AP8:AR8 AP36 AP17:AR33 AP43:AR43 AP38:AQ38 AP39:AR41 AP45:AR52 AP44:AQ44 AP65:AR65 AP64:AQ64 AP35 AR35 AP37 AR37 AR36 AP14:AR14 AQ13:AR13 AR15 AQ63:AR63 AO15 AO13 AO14 AO37 AO35 AO64 AO65 AO44 AO45:AO52 AO39:AO41 AO38 AO43 AO17:AO33 AO36 AO8 AO63 AN7:AO7 AO5:AO6 AN9:AN12 AL9:AL12 AJ9:AJ12 AF9:AF12 AD9:AD12 AB9:AB12 AA6:AF6 AA8:AF8 AJ8:AN8 AL7 AJ7 AF7 AD7 AN5 AL5 AJ5 AF5 AD5 AB5 AB7 AJ6:AN6 H5:AA5 H16:N16 H6:Z6 H64:N64 H63:N63 H19:N21 H17:N18 H7:AA7 AC7 AC5 AE5 AG5:AI5 AK5 AM5 AE7 AG7:AI7 AK7 AM7 H30:L30 H23:N27 H66:N66 H65:N65 H47:L47 H46:N46 H34:N34 H31:N31 H8:Z8 H32:N32 H45:N45 H22:N22 AG8:AI8 AG6:AI6 H53:N53 H50:N52 H49:N49 AC9 H44:L44 H48:N48 AE9 AG9:AI12 AK9:AK12 H37:L37 H36:N36 H33:L33 H42:L42 H38:L38 H39:L39 H35:L35 H41:L41 H72:N72 H71:N71 AO71 H74:N75 H73:N73 AO73 AM10:AM12 H14:L14 H9:L9 H10:L10 H11:L11 H12:L12 H13:L13 H15:L15 H56:N56 H54:L54 AO54 H55:L55 AO55 H59:N60 H57:L57 AO57 H70:N70 AO70 H58:L58 AO58 H28:L28 H29:L29 H40:L40 AO42 H43:L43 H62:L62 H61:L61 AO61 AO62 H69:N69 AO69 X9:Z9 X10:Z10 X11:Z11 X12:Z12 V9 V10 V11 V12 P9:R9 T9 T10 T11 T12 H68:N68 H67:N67 AO67 AC11:AC12 AE11:AE12 AO34 P10:R10 P12:R12 P11:R11 AO16 AO66 AO53 AO72 AO74:AO75 AO56 AO59:AO60 AO68 P16:AN16 P15:R15 P57:R57 P58:R58 P55:R55 P54:R54 P13:R13 P14:R14 P33:R33 P61:R61 P62:R62 P47:R47 P44:R44 P43:R43 P42 P40:R40 P39:R39 P38:R38 P37:R37 P35:R35 X34:AN34 V34 P34:R34 T34 P30:R30 P29:R29 P28:R28 AE13:AE14 AC13:AC14 T62 T61 T47 T44 T43 T41 T40 T39 T38 T37 T35 T30 T29 T28 T67:AN67 O67:R67 O68:AN68 T58 T57 T55 T54 T14 T13 T33 T15 V62 V61 V47 V44 V43 V41 V40 V39 V38 V37 V35 V33 V30 V29 V28 V58:Z58 V57 V55 V54 V14 V13 V15 X62:Z62 X61:Z61 X47:Z47 X44:Z44 X43:Z43 T42 Y42:Z42 X41:Z41 X40:Z40 X39:Z39 X38:Z38 X37:Z37 X35:Z35 X30:Z30 X29:Z29 X33:Z33 X28:Z28 X57:Z57 X55:Z55 X54:Z54 X15:Z15 X14:AA14 X13:Z13 AD69:AN69 O69:AB69 AB62:AN62 AB61:AN61 AC42:AN42 AB35:AI35 AB58:AN58 AB70:AN70 O70:Z70 AB57:AN57 O59:AN60 AB55:AN55 AB54:AN54 O56:AN56 AG44:AH44 AM13:AM15 AH73:AN73 O73:AF73 O74:AN75 AJ71:AN71 O71:AH71 O72:AN72 AG31:AI31 AC31 AC40:AC41 AC39:AE39 AC38:AE38 AC36:AI36 AC37:AE37 AE40:AE41 O41:R41 AG39:AI41 AG38:AI38 AG37:AI37 AK35 AK39:AK41 AK38 AK36 AK37 AM35 AM39:AM41 AM38 AM36 AM37 AC33 AE33 AG33:AI33 AK33 AM33 O36:AA36 AM45 AM22 AM47 AM43 AM28:AM30 AM19:AM21 AK47 AK43 AK28:AK30 AK19:AK21 AK13:AK15 AG47:AI47 AG43:AI43 AG28:AI30 AG19:AI21 AG13:AI15 AE47 AE43 AE28:AE30 AE19:AE21 AC19:AC21 AC47 AG49:AI49 AG50:AI52 AG48:AI48 O48:Z48 AC43 AC28:AC30 O49:Z49 O50:Z52 O53:AN53 AG63:AI63 AG17:AI18 AG23:AI27 AG22:AI22 O22:Z22 AG45:AI45 O45:Z45 AG46:AI46 AG65:AI65 AG32:AI32 O32:Z32 O31:Z31 AE64 AG64:AI64 AM64 O46:Z46 AC64 O65:Z65 O66:AN66 O23:Z27 O17:AA18 O19:AA21 O63:AA63 O64:Z64 AJ63:AN63 AJ17:AN18 AJ23:AN27 AJ65:AN65 AA64:AB64 AN64 AJ46:AN46 AJ64:AL64 AF64 AD64 AJ31:AN32 AA32:AF32 AA65:AF65 AA45:AF46 AA22:AF27 AB17:AF18 AB63:AF63 AJ50:AN52 AJ49:AN49 AB13:AB15 AB28:AB30 AB43:AB44 AA48:AF52 AB47 AD13:AD15 AB19:AB21 AD19:AD21 AD28:AD30 AD43:AD44 AD47 AF13:AF15 AF19:AF21 AF28:AF30 AF43:AF44 AF47 AJ13:AJ15 AJ19:AJ21 AJ28:AJ30 AJ43:AJ44 AJ48:AN48 AJ47 AL13:AL15 AL19:AL21 AL28:AL30 AL43:AL44 AL47 AN13:AN15 AJ22:AL22 AN19:AN22 AN28:AN30 AJ45:AL45 AN43:AN45 AN47 AN33 AL33 AJ33 AF33 AD33 AB33 AN35:AN41 AL35:AL41 AJ35:AJ41 AF37:AF41 AD40:AD41 AB36:AB41 AA31:AB31 AD31:AF31 O16 O42 O40 O35 O34 O33 O55 O47 O44 O30 O15 AM44 AK44 AI44 AE44 AE15 AC44 AC15 S67 S41 AG73 AI71 O76:AN180 O58 O54 O62 O57 AA70 O61 AC69 O13 AA13 O14 AA15 AA54 AA55 AA57 O28 AA28 AA33 O29 AA29 AA30 AA35 O37 AA37 O38 AA38 O39 AA39 AA40 AA41 AA42:AB42 U42:X42 O43 AA43 AA44 AA47 AA61 AA62 W15 W13 W14 W54 W55 W57 AA58 W28 W29 W30 W33 W35 W37 W38 W39 W40 W41 W43 W44 W47 W61 W62 U15 U33 U13 U14 U54 U55 U57 U58 U28 U29 U30 U35 U37 U38 U39 U40 U41 U43 U44 U47 U61 U62 S28 S29 S30 U34 S34 W34 S35 S37 S38 S39 S40 Q42:S42 S43 S44 S47 S62 S61 S33 S14 S13 S54 S55 S58 S57 S15 AP9:AR12 AO9:AO12 N28 N29 N30 N35 N37 N38 N39 N40 N41 N42 N43 N44 N47 N33 N61 N62 N54 N55 N57 N58 N12 N9 N10 N11 N13 N14 N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 Rosa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CAMPESTRE</cp:lastModifiedBy>
  <cp:lastPrinted>2019-11-18T12:11:06Z</cp:lastPrinted>
  <dcterms:created xsi:type="dcterms:W3CDTF">2011-02-23T00:04:26Z</dcterms:created>
  <dcterms:modified xsi:type="dcterms:W3CDTF">2021-01-28T13:03:57Z</dcterms:modified>
  <cp:category/>
  <cp:version/>
  <cp:contentType/>
  <cp:contentStatus/>
</cp:coreProperties>
</file>