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7545" firstSheet="4" activeTab="5"/>
  </bookViews>
  <sheets>
    <sheet name="DMPL" sheetId="1" state="hidden" r:id="rId1"/>
    <sheet name="duvidas" sheetId="2" state="hidden" r:id="rId2"/>
    <sheet name="Plan1" sheetId="3" state="hidden" r:id="rId3"/>
    <sheet name="Máquinas e equipamentos" sheetId="4" state="hidden" r:id="rId4"/>
    <sheet name="BALANCO" sheetId="5" r:id="rId5"/>
    <sheet name="DRE" sheetId="6" r:id="rId6"/>
  </sheets>
  <definedNames>
    <definedName name="_xlnm.Print_Area" localSheetId="4">'BALANCO'!$A$1:$U$112</definedName>
    <definedName name="_xlnm.Print_Area" localSheetId="5">'DRE'!$B$1:$AD$65</definedName>
  </definedNames>
  <calcPr fullCalcOnLoad="1"/>
</workbook>
</file>

<file path=xl/sharedStrings.xml><?xml version="1.0" encoding="utf-8"?>
<sst xmlns="http://schemas.openxmlformats.org/spreadsheetml/2006/main" count="489" uniqueCount="300">
  <si>
    <t>DESCRIÇÃO</t>
  </si>
  <si>
    <t>%</t>
  </si>
  <si>
    <t>ATIVO</t>
  </si>
  <si>
    <t>CIRCULANTE</t>
  </si>
  <si>
    <t>Disponível</t>
  </si>
  <si>
    <t>Banco Conta Movimento</t>
  </si>
  <si>
    <t>Banco Aplicação Financeira</t>
  </si>
  <si>
    <t>Valores a Receber</t>
  </si>
  <si>
    <t>ATIVO NÃO CIRCULANTE</t>
  </si>
  <si>
    <t>Investimentos</t>
  </si>
  <si>
    <t xml:space="preserve">     Direito uso linha telefônica</t>
  </si>
  <si>
    <t>Imobilizado</t>
  </si>
  <si>
    <t>Móveis e Utensílios</t>
  </si>
  <si>
    <t>Maquinas e Equipamentos</t>
  </si>
  <si>
    <t>(-) Depreciações</t>
  </si>
  <si>
    <t>PASSIVO</t>
  </si>
  <si>
    <t>Credores p/Funcionamento</t>
  </si>
  <si>
    <t>Fornecedores</t>
  </si>
  <si>
    <t>Salários a Pagar</t>
  </si>
  <si>
    <t>Obrigações Sociais a Recolher</t>
  </si>
  <si>
    <t>Provisão de Férias/13o/Encargos</t>
  </si>
  <si>
    <t>Adiantamento de Associados</t>
  </si>
  <si>
    <t>PATRIMÔNIO SOCIAL</t>
  </si>
  <si>
    <t>Reservas</t>
  </si>
  <si>
    <t xml:space="preserve">Fundo Patrimonial </t>
  </si>
  <si>
    <t>APMP- ASSOCIAÇÃO DOS PROD. DE MAT.PRIMAS PARA AS IND. DE BIONERGIA DE GOIÁS</t>
  </si>
  <si>
    <t>Computadores e Periféricos</t>
  </si>
  <si>
    <t>A - BALANÇO PATRIMONIAL</t>
  </si>
  <si>
    <t>A Vert.%</t>
  </si>
  <si>
    <t>2 - CUSTOS OPERACIONAIS</t>
  </si>
  <si>
    <t>3 (1-2) - RESULTADO OPERACIONAL LÍQUIDO</t>
  </si>
  <si>
    <t>4 - RECEITAS/DESPESAS COMPLEMENTARES</t>
  </si>
  <si>
    <t>( + )</t>
  </si>
  <si>
    <t>4.2</t>
  </si>
  <si>
    <t>5 (3+4)</t>
  </si>
  <si>
    <t xml:space="preserve">2.1- CUSTOS COM PESSOAL </t>
  </si>
  <si>
    <t>2.1.1</t>
  </si>
  <si>
    <t>B - DEMONSTRAÇÃO DO RESULTADO DO EXERCÍCIO</t>
  </si>
  <si>
    <t>A.Vertical</t>
  </si>
  <si>
    <t>TOTAL</t>
  </si>
  <si>
    <t>T O T A L - (31.12.2009)</t>
  </si>
  <si>
    <t>T O T A L - (31.12.2010)</t>
  </si>
  <si>
    <t xml:space="preserve">C - DEMONSTRAÇÃO DAS MUTAÇÕES DO PATRIMÔNIO SOCIAL. </t>
  </si>
  <si>
    <t>FUNDO PATRIMONIAL</t>
  </si>
  <si>
    <t>2.Operacional</t>
  </si>
  <si>
    <t>2.1 - Superávit Líq. do Exercício 2010</t>
  </si>
  <si>
    <t>2.1 - Superávit Líq. do Exercício 2009</t>
  </si>
  <si>
    <t xml:space="preserve">DEMONSTRAÇÕES CONTÁBEIS LEVANTADAS EM 31 DE DEZEMBRO DE  2010 </t>
  </si>
  <si>
    <t xml:space="preserve"> SUPERÁVIT ACUMULADO </t>
  </si>
  <si>
    <t>1 Estatutário</t>
  </si>
  <si>
    <t>1.1  - Jóias de Admissão</t>
  </si>
  <si>
    <t>Adiantamento a Fornecedores</t>
  </si>
  <si>
    <t>Outras Contas a Pagar</t>
  </si>
  <si>
    <t>( - )</t>
  </si>
  <si>
    <t>Veículos</t>
  </si>
  <si>
    <t xml:space="preserve">CLUBE CAMPESTRE DE RIO VERDE </t>
  </si>
  <si>
    <t>Creditos Financeiros</t>
  </si>
  <si>
    <t>Adiantamento a Funcionários</t>
  </si>
  <si>
    <t xml:space="preserve">Impostos a Recuperar </t>
  </si>
  <si>
    <t xml:space="preserve">Cheques Pendentes </t>
  </si>
  <si>
    <t>Estoques</t>
  </si>
  <si>
    <t>Mercadorias p/Revenda</t>
  </si>
  <si>
    <t xml:space="preserve">Despesas Antecipadas </t>
  </si>
  <si>
    <t>Seguros</t>
  </si>
  <si>
    <t>Depósito Judicial</t>
  </si>
  <si>
    <t xml:space="preserve">Direito de Uso Software/Linha </t>
  </si>
  <si>
    <t>Edificações</t>
  </si>
  <si>
    <t>Instalações Eletricas Hidr</t>
  </si>
  <si>
    <t>Equipamentos Academia</t>
  </si>
  <si>
    <t>Equipamentos Pianos Bar</t>
  </si>
  <si>
    <t>Material de Esporte</t>
  </si>
  <si>
    <t>Parque Infantil</t>
  </si>
  <si>
    <t xml:space="preserve">Brinquedos sala de jogos </t>
  </si>
  <si>
    <t>Móveis e Utensílios pianos Bar</t>
  </si>
  <si>
    <t>Catraca Eletronica</t>
  </si>
  <si>
    <t xml:space="preserve">Materias Aplicados </t>
  </si>
  <si>
    <t>Mao obra aplicada após 1996</t>
  </si>
  <si>
    <t>Materiais aplicados após 1996</t>
  </si>
  <si>
    <t>Aparelhos Equipamentos ap1996</t>
  </si>
  <si>
    <t>Instalações Ap 1996</t>
  </si>
  <si>
    <t>Móveis e Utesnilios / Ap 1996</t>
  </si>
  <si>
    <t>Material de Esporte /Ap 1996</t>
  </si>
  <si>
    <t>Intagivel</t>
  </si>
  <si>
    <t>Marcas e Patentes</t>
  </si>
  <si>
    <t xml:space="preserve">( - ) </t>
  </si>
  <si>
    <t>Mensalidade Social</t>
  </si>
  <si>
    <t>Convite Social</t>
  </si>
  <si>
    <t>Empréstimos Bancários</t>
  </si>
  <si>
    <t>NÃO CIRCULANTE</t>
  </si>
  <si>
    <t>Empréstimos e Financiamentos</t>
  </si>
  <si>
    <t>Capital Subscrito</t>
  </si>
  <si>
    <t>Superávit Acumulado após 1988</t>
  </si>
  <si>
    <t>Resultado Período 2009</t>
  </si>
  <si>
    <t>Mao de obra aplicada</t>
  </si>
  <si>
    <t>Ferramentas</t>
  </si>
  <si>
    <t>Adiantamento de Mão de Obra</t>
  </si>
  <si>
    <t>Projeto Licença Ambiental</t>
  </si>
  <si>
    <t>Construções em andamento</t>
  </si>
  <si>
    <t>Resultado  Período 2010</t>
  </si>
  <si>
    <t>Participações Empresas / Ações</t>
  </si>
  <si>
    <t>Imóveis</t>
  </si>
  <si>
    <t>edificações - Campestre Bar</t>
  </si>
  <si>
    <t>( - ) Déficit do Exercício</t>
  </si>
  <si>
    <t>Resultado Período 2011</t>
  </si>
  <si>
    <t xml:space="preserve"> Caixa</t>
  </si>
  <si>
    <t>Ações Patrimoniais</t>
  </si>
  <si>
    <t>Outras Contas a Pagar / Terceiros</t>
  </si>
  <si>
    <t>Cheques em trânsito / a compensar</t>
  </si>
  <si>
    <t>Tributos a recolher</t>
  </si>
  <si>
    <t>Resultado Periodo 2012</t>
  </si>
  <si>
    <t>(-) icms</t>
  </si>
  <si>
    <t xml:space="preserve"> </t>
  </si>
  <si>
    <t>( = )</t>
  </si>
  <si>
    <t>2.1.2</t>
  </si>
  <si>
    <t>Encargos trabalhistas</t>
  </si>
  <si>
    <t>PCLD</t>
  </si>
  <si>
    <t xml:space="preserve">   </t>
  </si>
  <si>
    <t>Demonstrações Contábeis Exercício AGOSTO 2009 a  JULHO 2012</t>
  </si>
  <si>
    <t>Aplicações</t>
  </si>
  <si>
    <t xml:space="preserve">SUPERÁVIT /DEFICIT DO EXERCÍCIO </t>
  </si>
  <si>
    <t>Cartões a receber</t>
  </si>
  <si>
    <t>Cotas integralização Sicredi</t>
  </si>
  <si>
    <t>Instalações</t>
  </si>
  <si>
    <t>Play-ground</t>
  </si>
  <si>
    <t>Terrenos</t>
  </si>
  <si>
    <t>Imobilizado em andamento</t>
  </si>
  <si>
    <t>Marcas e patentes</t>
  </si>
  <si>
    <t>Software</t>
  </si>
  <si>
    <t>Direito de uso</t>
  </si>
  <si>
    <t>Projeto licanca ambiental</t>
  </si>
  <si>
    <t>Ajuste de exercícios anteriores</t>
  </si>
  <si>
    <t>Academia</t>
  </si>
  <si>
    <t>Carteirinha</t>
  </si>
  <si>
    <t>Salários</t>
  </si>
  <si>
    <t>Superavit de exercícios anteriores</t>
  </si>
  <si>
    <t>( - ) Déficit de exercícios anteriores</t>
  </si>
  <si>
    <t>A.Vertical %</t>
  </si>
  <si>
    <t>Caixa valor alto 56.000</t>
  </si>
  <si>
    <t>titulos capitalização</t>
  </si>
  <si>
    <t>valor sem variação no mês, vai ter regaste?</t>
  </si>
  <si>
    <t>deposito judicial</t>
  </si>
  <si>
    <t>este deposito foi cumprimento de sentença ou fez deposito para continuar questionando na justiça e de que processo se refere?</t>
  </si>
  <si>
    <t>P</t>
  </si>
  <si>
    <t>qual criterio foi aplicado para o calculo?</t>
  </si>
  <si>
    <t>adiantamento funcionario</t>
  </si>
  <si>
    <t>esta conta esta conciliada? Achei o valor alto</t>
  </si>
  <si>
    <t xml:space="preserve">adiantamento Rio Verde INOX </t>
  </si>
  <si>
    <t>do que se refere este adiantamento</t>
  </si>
  <si>
    <t>Sicred</t>
  </si>
  <si>
    <t>foi integralização ou distribuição de sobras?</t>
  </si>
  <si>
    <t>Maquinas e equipamentos</t>
  </si>
  <si>
    <t>variação de 400 mi no trimestre compra de que?</t>
  </si>
  <si>
    <t>fornecedor  ADARCIO CARDOSO DO</t>
  </si>
  <si>
    <t>1800 devedor do que se refere?</t>
  </si>
  <si>
    <t xml:space="preserve"> TAXA NEGOCIAL E HONORATICI</t>
  </si>
  <si>
    <t>?</t>
  </si>
  <si>
    <t xml:space="preserve">21260 2101120000   OUTRAS CONTAS A PAGAR    </t>
  </si>
  <si>
    <t>tem saldo de bancos isto é emprestimo?</t>
  </si>
  <si>
    <t xml:space="preserve"> ADIANTAMENTO-OUTROS VALOREs</t>
  </si>
  <si>
    <t>o que se refere este 20 mil</t>
  </si>
  <si>
    <t>qual a diferença de antecipações de clientes e antecipação de socios?</t>
  </si>
  <si>
    <t>É porque nos próximos dias houve depósitos muito altos e muitos pagamentos.</t>
  </si>
  <si>
    <t>Este título começou a ser resgatado em 2017, e o pessoal do Clube não conseguiu extrato desse título (cobrei inúmeras vezes, até que o Romero me ligou com falta de educação falando  "Maurienne, título de capitalização não tem extrato!! Todo mundo sabe disso, só você que não sabe.")</t>
  </si>
  <si>
    <t>Conforme falamos via telefone usei uma planilha de 2017 que o Romero tinha dos valores que não haviam sido recebidos até uma determinada data (planilha esta que ele atualiza sempre para passar para o Roberto), era a única forma que tínhamos de reconhecer PCLD de 2016. Lembro-me que conversei com você e alinhamos que a partir de 2017 registraríamos como PCLD os títulos vencidos até 6 meses antes da competência digitada, e que em 2016 poderíamos deixar como está, já que era a única forma.</t>
  </si>
  <si>
    <t>É um adiantamento a fornecedor que foi zerado em 2016 mesmo, porém em meses posteriores.</t>
  </si>
  <si>
    <t>Se estiver falando da conta 13058 é integralização de cotas e integralização das sobras.</t>
  </si>
  <si>
    <t>Compra de inúmeros equipamentos para academia, bebedouros - segue composição da variação em planilha ao lado desta.</t>
  </si>
  <si>
    <t>Desconto na folha de pagamento de taxa sindical. Todo mês há este desconto que é expresso em convenção coletiva.</t>
  </si>
  <si>
    <t>Isto são inúuuuuumeros cheques emitidos aguardando compensação bancária, o saldo é realmente alto, pois muitos fornecedores demoram para compensar o cheque (alguns demoram mais de 02 ou 03 meses para compensar).</t>
  </si>
  <si>
    <t>Segundo o financeiro do Clube Campestre são valores que o Roberto emprestou ao Clube, inclusive este valor é muito maior (que você verá no balancete dos próximos períodos). Em 2017 há inúmeras saídas do caixa de valores pagando este empréstimo. Segundo eles, este empréstimo é meio 'em off'.... poucas pessoas sabem, tanto é que quando eu ligava pra perguntar a que se referia, para melhor classificação contábil, o nome dele não era citado em voz alta.</t>
  </si>
  <si>
    <t>A conta 'Adiantamento de clientes' se refere às mensalidades pagas antecipadamente, pagas antes do vencimento, que eu contabilizo o pagamento nesta conta e vou baixando na competência correta. A conta 'Antecipação de crédito aos sócios' é aquele cartão consumo usado no bar.</t>
  </si>
  <si>
    <t>O saldo inicial veio alto então questionei ao financeiro do Clube se aqueles depósitos judiciais ainda eram válidos, pois há valores de 2015, eles me falaram que muitos ainda eram válidos sim, porém não seria possível eles verificarem antes do fechamento da contabilidade, pois demandava tempo. Combinei com eles que veríamos isto em 2017 para ajuste do saldo correto.</t>
  </si>
  <si>
    <t>Não está conciliada. Realmente saldo está muuuuito alto, porém há uma grande bagunça nos adiantamentos. Percebi que muitos valores foram adiantados, mas não foram descontados na competência certa, ou foram adiantados e parcelado, porém descontava uma parcela em um mês e na outra não e depois não localizava o restante do desconto.</t>
  </si>
  <si>
    <t>DATA</t>
  </si>
  <si>
    <t>N° NF</t>
  </si>
  <si>
    <t>FORNECEDOR</t>
  </si>
  <si>
    <t>VALOR</t>
  </si>
  <si>
    <t>ITEM</t>
  </si>
  <si>
    <t>MEGATECH INFORMÁTICA LTDA</t>
  </si>
  <si>
    <t>JHT AGUAS CLARAS COMERCIO DE PRODUTOS E EQUIPAMENTOS ESPORTIVOS</t>
  </si>
  <si>
    <t>PL SOUTO E CIA LTDA</t>
  </si>
  <si>
    <t>CATRAL REFRIGERACAO E ELETRODOMESTICOS LTDA</t>
  </si>
  <si>
    <t>1 LEITOR LASER SOLARIS</t>
  </si>
  <si>
    <t>10 ESTEIRAS TZERO JHNSON C/ INCL. ELETRI.</t>
  </si>
  <si>
    <t>02 BICICLETAS R1X HORZ ELETROMAG C/ PROGRAMACAO</t>
  </si>
  <si>
    <t>02 BICICLETAS U1X VERT. ELETROMAG C/ PROGRAMACAO</t>
  </si>
  <si>
    <t>01 AR1 ROWER MATRIX</t>
  </si>
  <si>
    <t>16 BICLICLETAS PARA CICLISMO INDOOD JOHNSON</t>
  </si>
  <si>
    <t>02 E3X/ E5X ESTR III ELIPTICO MATRIX</t>
  </si>
  <si>
    <t>02 BICICLETAS EHRU3X PAINEL II ELIPTICO MATRIX</t>
  </si>
  <si>
    <t>01 G7S7 LEG EXTENSION G7 MATRIX</t>
  </si>
  <si>
    <t>01 G7S72 SEATED LEGCURL G7 MATRIX</t>
  </si>
  <si>
    <t>01 G3S30 LAT PULLDOWN G3 MATRIX</t>
  </si>
  <si>
    <t>01 G3S60 DIP/ CHIN ASSIT G3 MATRIX</t>
  </si>
  <si>
    <t>01 VSS34H DIVERGING SEATED ROW VERSA</t>
  </si>
  <si>
    <t>01 G7S40 INDEPENDENT BICEPS CURL G7</t>
  </si>
  <si>
    <t>01 BEBEDOURO 100 LT TORN</t>
  </si>
  <si>
    <t>DEVOLUÇÃO DE BEBEDOURO 01 BEBEDOURO 100 LT TORN</t>
  </si>
  <si>
    <t>01 CONSERV VERT P VID 402 LT</t>
  </si>
  <si>
    <t>01 CONSERV VERTI 5P VD PT</t>
  </si>
  <si>
    <t>VARIAÇÃO DA CONTA 'MÁQUINAS E EQUIPAMENTOS' (01/04/2016 a 30/06/2016)</t>
  </si>
  <si>
    <t>01 G3PL14 INCLINE BANK PRESS MATRIX</t>
  </si>
  <si>
    <t>CLUBE CAMPESTRE DE RIO VERDE</t>
  </si>
  <si>
    <t>Foi um pagamento realizado antes da contabilização da nota fiscal (adiantamento a fornecedor), corrigi e segue balancete os relatórios deste arquivo já estão c/ a correção.</t>
  </si>
  <si>
    <t>Caixa</t>
  </si>
  <si>
    <t>Venda de terrenos a receber</t>
  </si>
  <si>
    <t>4.2.1</t>
  </si>
  <si>
    <t>4.2.2</t>
  </si>
  <si>
    <t>2.1.3</t>
  </si>
  <si>
    <t>1.1 =  RECEITAS OPERACIONAIS</t>
  </si>
  <si>
    <t>Eventos Sociais</t>
  </si>
  <si>
    <t>1.2 = CUSTOS S/ VENDAS</t>
  </si>
  <si>
    <t>1.3 = RECEITA OPERACIONAL LIQ.</t>
  </si>
  <si>
    <t>Outros Gastos c/ Pessoal</t>
  </si>
  <si>
    <t>2.2- CUSTOS OPERACIONAIS</t>
  </si>
  <si>
    <t>2.2.1</t>
  </si>
  <si>
    <t>Custos Operacionais</t>
  </si>
  <si>
    <t>2.2.2</t>
  </si>
  <si>
    <t>Custos de Conservação e manutençao</t>
  </si>
  <si>
    <t>2.2.3</t>
  </si>
  <si>
    <t>Custos Bar</t>
  </si>
  <si>
    <t>2.2.4</t>
  </si>
  <si>
    <t>Gastos Esporte</t>
  </si>
  <si>
    <t>2.2.5</t>
  </si>
  <si>
    <t>Custos Academia</t>
  </si>
  <si>
    <t>2.2.6</t>
  </si>
  <si>
    <t>Custos Sauna</t>
  </si>
  <si>
    <t>2.2.7</t>
  </si>
  <si>
    <t>Custos Piscinas</t>
  </si>
  <si>
    <t>2.2.8</t>
  </si>
  <si>
    <t>2.2.9</t>
  </si>
  <si>
    <t>Depreciações/amortizações</t>
  </si>
  <si>
    <t>Provisões/Perdas</t>
  </si>
  <si>
    <t>2.3 - CUSTOS INVESTIMENTOS</t>
  </si>
  <si>
    <t>Custos Investimentos</t>
  </si>
  <si>
    <t>Receitas Complementares</t>
  </si>
  <si>
    <t>Receitas Financeiras</t>
  </si>
  <si>
    <t>Receita com aluguel/espaço publicitario</t>
  </si>
  <si>
    <t>Despesas Financeiras</t>
  </si>
  <si>
    <t>Despesas Tributárias</t>
  </si>
  <si>
    <t>(-) ISS s/ serviços</t>
  </si>
  <si>
    <t xml:space="preserve">Cheques a compensar/cobrança </t>
  </si>
  <si>
    <t xml:space="preserve">Adiantamento 13º sal. </t>
  </si>
  <si>
    <t xml:space="preserve">           Adiantamentos de Tributos </t>
  </si>
  <si>
    <t>(-) Provisão para Perda Crédito</t>
  </si>
  <si>
    <t>Valores Receber Associado</t>
  </si>
  <si>
    <t>Impostos a Recuperar</t>
  </si>
  <si>
    <t>Financiamentos/Parcelamentos</t>
  </si>
  <si>
    <t>Adiantamentos</t>
  </si>
  <si>
    <t>Parcelamento de INSS</t>
  </si>
  <si>
    <t>Venda de Título Social/transferencia titulos</t>
  </si>
  <si>
    <t>(-) Custo estoque</t>
  </si>
  <si>
    <t>Atividades esportivas/dancas</t>
  </si>
  <si>
    <t>Resultado c/ OperaçãoPatrimonial</t>
  </si>
  <si>
    <t>1 - RECEITA OPERACIONAL LIQUIDA</t>
  </si>
  <si>
    <t>2.3.1</t>
  </si>
  <si>
    <t>1.2.1</t>
  </si>
  <si>
    <t>1.2.2</t>
  </si>
  <si>
    <t xml:space="preserve">( + ) </t>
  </si>
  <si>
    <t xml:space="preserve"> 1.1.1</t>
  </si>
  <si>
    <t xml:space="preserve"> 1.1.2</t>
  </si>
  <si>
    <t xml:space="preserve"> 1.1.4</t>
  </si>
  <si>
    <t xml:space="preserve"> 1.1.3</t>
  </si>
  <si>
    <t xml:space="preserve"> 1.1.5</t>
  </si>
  <si>
    <t xml:space="preserve"> 1.1.7</t>
  </si>
  <si>
    <t xml:space="preserve"> 1.1.8</t>
  </si>
  <si>
    <t xml:space="preserve"> 1.1.6</t>
  </si>
  <si>
    <t xml:space="preserve"> 4.1</t>
  </si>
  <si>
    <t xml:space="preserve"> 4.1.1</t>
  </si>
  <si>
    <t xml:space="preserve"> 4.1.2</t>
  </si>
  <si>
    <t xml:space="preserve"> 4.1.3</t>
  </si>
  <si>
    <t xml:space="preserve"> 4.1.5</t>
  </si>
  <si>
    <t xml:space="preserve"> 4.1.4</t>
  </si>
  <si>
    <t>Resultado do período</t>
  </si>
  <si>
    <t>Venda de Mercadorias</t>
  </si>
  <si>
    <t xml:space="preserve"> 1.1.9</t>
  </si>
  <si>
    <t>Custos Eventos</t>
  </si>
  <si>
    <t>1.2.3</t>
  </si>
  <si>
    <t>Serviços de Recreação/animação</t>
  </si>
  <si>
    <t>1º TRIMESTRE</t>
  </si>
  <si>
    <t>2º TRIMESTRE</t>
  </si>
  <si>
    <t>3º TRIMESTRE</t>
  </si>
  <si>
    <t>4º TRIMESTRE</t>
  </si>
  <si>
    <t>ANUAL</t>
  </si>
  <si>
    <t>Títulos de Capitalização</t>
  </si>
  <si>
    <t>Estoques Material de Consumo</t>
  </si>
  <si>
    <t>Estoques de Mercadorias p/ Revenda</t>
  </si>
  <si>
    <t>Cotas integralização Credi Rural</t>
  </si>
  <si>
    <t>Contigências Cíveis</t>
  </si>
  <si>
    <t>Demonstrações Contábeis Exercício 2019</t>
  </si>
  <si>
    <t>Publicidades/Outros a receber</t>
  </si>
  <si>
    <t>Cheques a Pagar</t>
  </si>
  <si>
    <t xml:space="preserve">Parcelamento de INSS  </t>
  </si>
  <si>
    <t>2.2.10</t>
  </si>
  <si>
    <t>2.2.11</t>
  </si>
  <si>
    <t>Custos Casa de Apoio</t>
  </si>
  <si>
    <t>Seguros/Licença Nuvem</t>
  </si>
  <si>
    <t>(-) amortização</t>
  </si>
  <si>
    <t>Doações e Bonificações e Patrocinios</t>
  </si>
  <si>
    <t xml:space="preserve">Outras Receitas </t>
  </si>
</sst>
</file>

<file path=xl/styles.xml><?xml version="1.0" encoding="utf-8"?>
<styleSheet xmlns="http://schemas.openxmlformats.org/spreadsheetml/2006/main">
  <numFmts count="6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 * #,##0.00_ ;_ * \-#,##0.00_ ;_ * &quot;-&quot;??_ ;_ @_ "/>
    <numFmt numFmtId="173" formatCode="0.0%"/>
    <numFmt numFmtId="174" formatCode="&quot;Cr$&quot;#,##0_);\(&quot;Cr$&quot;#,##0\)"/>
    <numFmt numFmtId="175" formatCode="&quot;Cr$&quot;#,##0_);[Red]\(&quot;Cr$&quot;#,##0\)"/>
    <numFmt numFmtId="176" formatCode="&quot;Cr$&quot;#,##0.00_);\(&quot;Cr$&quot;#,##0.00\)"/>
    <numFmt numFmtId="177" formatCode="&quot;Cr$&quot;#,##0.00_);[Red]\(&quot;Cr$&quot;#,##0.00\)"/>
    <numFmt numFmtId="178" formatCode="_(&quot;Cr$&quot;* #,##0_);_(&quot;Cr$&quot;* \(#,##0\);_(&quot;Cr$&quot;* &quot;-&quot;_);_(@_)"/>
    <numFmt numFmtId="179" formatCode="_(&quot;Cr$&quot;* #,##0.00_);_(&quot;Cr$&quot;* \(#,##0.00\);_(&quot;Cr$&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rs$&quot;#,##0;&quot;rs$&quot;\-#,##0"/>
    <numFmt numFmtId="187" formatCode="&quot;rs$&quot;#,##0;[Red]&quot;rs$&quot;\-#,##0"/>
    <numFmt numFmtId="188" formatCode="&quot;rs$&quot;#,##0.00;&quot;rs$&quot;\-#,##0.00"/>
    <numFmt numFmtId="189" formatCode="&quot;rs$&quot;#,##0.00;[Red]&quot;rs$&quot;\-#,##0.00"/>
    <numFmt numFmtId="190" formatCode="_ &quot;rs$&quot;* #,##0_ ;_ &quot;rs$&quot;* \-#,##0_ ;_ &quot;rs$&quot;* &quot;-&quot;_ ;_ @_ "/>
    <numFmt numFmtId="191" formatCode="_ * #,##0_ ;_ * \-#,##0_ ;_ * &quot;-&quot;_ ;_ @_ "/>
    <numFmt numFmtId="192" formatCode="_ &quot;rs$&quot;* #,##0.00_ ;_ &quot;rs$&quot;* \-#,##0.00_ ;_ &quot;rs$&quot;* &quot;-&quot;??_ ;_ @_ "/>
    <numFmt numFmtId="193" formatCode="&quot;Cr$&quot;\ #,##0_);\(&quot;Cr$&quot;\ #,##0\)"/>
    <numFmt numFmtId="194" formatCode="&quot;Cr$&quot;\ #,##0_);[Red]\(&quot;Cr$&quot;\ #,##0\)"/>
    <numFmt numFmtId="195" formatCode="&quot;Cr$&quot;\ #,##0.00_);\(&quot;Cr$&quot;\ #,##0.00\)"/>
    <numFmt numFmtId="196" formatCode="&quot;Cr$&quot;\ #,##0.00_);[Red]\(&quot;Cr$&quot;\ #,##0.00\)"/>
    <numFmt numFmtId="197" formatCode="_(&quot;Cr$&quot;\ * #,##0_);_(&quot;Cr$&quot;\ * \(#,##0\);_(&quot;Cr$&quot;\ * &quot;-&quot;_);_(@_)"/>
    <numFmt numFmtId="198" formatCode="_(&quot;Cr$&quot;\ * #,##0.00_);_(&quot;Cr$&quot;\ * \(#,##0.00\);_(&quot;Cr$&quot;\ * &quot;-&quot;??_);_(@_)"/>
    <numFmt numFmtId="199" formatCode="0.000%"/>
    <numFmt numFmtId="200" formatCode="_ * #,##0.0_ ;_ * \-#,##0.0_ ;_ * &quot;-&quot;??_ ;_ @_ "/>
    <numFmt numFmtId="201" formatCode="_ * #,##0_ ;_ * \-#,##0_ ;_ * &quot;-&quot;??_ ;_ @_ "/>
    <numFmt numFmtId="202" formatCode="#,##0.0"/>
    <numFmt numFmtId="203" formatCode="_ * #,##0.000_ ;_ * \-#,##0.000_ ;_ * &quot;-&quot;??_ ;_ @_ "/>
    <numFmt numFmtId="204" formatCode="_ * #,##0.0000_ ;_ * \-#,##0.0000_ ;_ * &quot;-&quot;??_ ;_ @_ "/>
    <numFmt numFmtId="205" formatCode="d/m"/>
    <numFmt numFmtId="206" formatCode="_(* #,##0.000_);_(* \(#,##0.000\);_(* &quot;-&quot;??_);_(@_)"/>
    <numFmt numFmtId="207" formatCode="#,##0.00;[Red]#,##0.00"/>
    <numFmt numFmtId="208" formatCode="&quot;Sim&quot;;&quot;Sim&quot;;&quot;Não&quot;"/>
    <numFmt numFmtId="209" formatCode="&quot;Verdadeiro&quot;;&quot;Verdadeiro&quot;;&quot;Falso&quot;"/>
    <numFmt numFmtId="210" formatCode="&quot;Ativar&quot;;&quot;Ativar&quot;;&quot;Desativar&quot;"/>
    <numFmt numFmtId="211" formatCode="[$€-2]\ #,##0.00_);[Red]\([$€-2]\ #,##0.00\)"/>
    <numFmt numFmtId="212" formatCode="0.0000000000"/>
    <numFmt numFmtId="213" formatCode="_(&quot;R$ &quot;* #,##0.000_);_(&quot;R$ &quot;* \(#,##0.000\);_(&quot;R$ &quot;* &quot;-&quot;??_);_(@_)"/>
    <numFmt numFmtId="214" formatCode="_(&quot;R$ &quot;* #,##0.0000_);_(&quot;R$ &quot;* \(#,##0.0000\);_(&quot;R$ &quot;* &quot;-&quot;??_);_(@_)"/>
    <numFmt numFmtId="215" formatCode="_(* #,##0.00_);_(* \(#,##0.00\);_(* \-??_);_(@_)"/>
    <numFmt numFmtId="216" formatCode="_ * #,##0.00_ ;_ * \-#,##0.00_ ;_ * \-??_ ;_ @_ "/>
    <numFmt numFmtId="217" formatCode="[$-416]dddd\,\ d&quot; de &quot;mmmm&quot; de &quot;yyyy"/>
    <numFmt numFmtId="218" formatCode="[$-416]mmm\-yy;@"/>
    <numFmt numFmtId="219" formatCode="0.0"/>
  </numFmts>
  <fonts count="58">
    <font>
      <sz val="10"/>
      <name val="Arial"/>
      <family val="0"/>
    </font>
    <font>
      <sz val="10"/>
      <color indexed="8"/>
      <name val="Arial"/>
      <family val="2"/>
    </font>
    <font>
      <b/>
      <sz val="10"/>
      <color indexed="8"/>
      <name val="Arial"/>
      <family val="2"/>
    </font>
    <font>
      <b/>
      <sz val="11"/>
      <color indexed="8"/>
      <name val="Arial"/>
      <family val="2"/>
    </font>
    <font>
      <sz val="11"/>
      <color indexed="8"/>
      <name val="Arial"/>
      <family val="2"/>
    </font>
    <font>
      <b/>
      <sz val="9"/>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8"/>
      <color indexed="8"/>
      <name val="Arial"/>
      <family val="2"/>
    </font>
    <font>
      <sz val="12"/>
      <name val="Arial"/>
      <family val="2"/>
    </font>
    <font>
      <b/>
      <sz val="8"/>
      <name val="Arial"/>
      <family val="2"/>
    </font>
    <font>
      <b/>
      <sz val="12"/>
      <name val="Arial"/>
      <family val="2"/>
    </font>
    <font>
      <b/>
      <i/>
      <sz val="8"/>
      <color indexed="8"/>
      <name val="Arial"/>
      <family val="2"/>
    </font>
    <font>
      <i/>
      <sz val="8"/>
      <color indexed="8"/>
      <name val="Arial"/>
      <family val="2"/>
    </font>
    <font>
      <i/>
      <sz val="8"/>
      <name val="Arial"/>
      <family val="2"/>
    </font>
    <font>
      <b/>
      <i/>
      <sz val="8"/>
      <name val="Arial"/>
      <family val="2"/>
    </font>
    <font>
      <b/>
      <i/>
      <sz val="10"/>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sz val="10"/>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6" fillId="32" borderId="0" applyNumberFormat="0" applyBorder="0" applyAlignment="0" applyProtection="0"/>
    <xf numFmtId="0" fontId="47" fillId="21" borderId="5" applyNumberFormat="0" applyAlignment="0" applyProtection="0"/>
    <xf numFmtId="16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1" fontId="0" fillId="0" borderId="0" applyFont="0" applyFill="0" applyBorder="0" applyAlignment="0" applyProtection="0"/>
  </cellStyleXfs>
  <cellXfs count="260">
    <xf numFmtId="0" fontId="0" fillId="0" borderId="0" xfId="0" applyAlignment="1">
      <alignment/>
    </xf>
    <xf numFmtId="0" fontId="1" fillId="33" borderId="0" xfId="0" applyFont="1" applyFill="1" applyBorder="1" applyAlignment="1">
      <alignment/>
    </xf>
    <xf numFmtId="0" fontId="1" fillId="33" borderId="10" xfId="0" applyFont="1" applyFill="1" applyBorder="1" applyAlignment="1">
      <alignment/>
    </xf>
    <xf numFmtId="0" fontId="1" fillId="33" borderId="11" xfId="0" applyFont="1" applyFill="1" applyBorder="1" applyAlignment="1">
      <alignment/>
    </xf>
    <xf numFmtId="0" fontId="2" fillId="33" borderId="0" xfId="0" applyFont="1" applyFill="1" applyBorder="1" applyAlignment="1">
      <alignment/>
    </xf>
    <xf numFmtId="0" fontId="0" fillId="33" borderId="0" xfId="0" applyFill="1" applyAlignment="1">
      <alignment/>
    </xf>
    <xf numFmtId="0" fontId="2" fillId="34" borderId="10" xfId="0" applyFont="1" applyFill="1" applyBorder="1" applyAlignment="1">
      <alignment/>
    </xf>
    <xf numFmtId="0" fontId="2" fillId="34" borderId="11" xfId="0" applyFont="1" applyFill="1" applyBorder="1" applyAlignment="1">
      <alignment/>
    </xf>
    <xf numFmtId="171" fontId="2" fillId="34" borderId="11" xfId="62" applyFont="1" applyFill="1" applyBorder="1" applyAlignment="1">
      <alignment/>
    </xf>
    <xf numFmtId="10" fontId="2" fillId="34" borderId="11" xfId="50" applyNumberFormat="1" applyFont="1" applyFill="1" applyBorder="1" applyAlignment="1">
      <alignment/>
    </xf>
    <xf numFmtId="0" fontId="1" fillId="34" borderId="12" xfId="0" applyFont="1" applyFill="1" applyBorder="1" applyAlignment="1">
      <alignment horizontal="left"/>
    </xf>
    <xf numFmtId="0" fontId="1" fillId="34" borderId="0" xfId="0" applyFont="1" applyFill="1" applyBorder="1" applyAlignment="1">
      <alignment/>
    </xf>
    <xf numFmtId="171" fontId="1" fillId="34" borderId="0" xfId="62" applyFont="1" applyFill="1" applyBorder="1" applyAlignment="1">
      <alignment/>
    </xf>
    <xf numFmtId="10" fontId="1" fillId="34" borderId="0" xfId="50" applyNumberFormat="1" applyFont="1" applyFill="1" applyBorder="1" applyAlignment="1">
      <alignment/>
    </xf>
    <xf numFmtId="0" fontId="1" fillId="34" borderId="12" xfId="0" applyFont="1" applyFill="1" applyBorder="1" applyAlignment="1">
      <alignment/>
    </xf>
    <xf numFmtId="0" fontId="6" fillId="33" borderId="12"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171" fontId="0" fillId="33" borderId="13" xfId="62" applyFont="1" applyFill="1" applyBorder="1" applyAlignment="1">
      <alignment/>
    </xf>
    <xf numFmtId="0" fontId="0" fillId="33" borderId="0" xfId="0" applyFill="1" applyBorder="1" applyAlignment="1">
      <alignment/>
    </xf>
    <xf numFmtId="0" fontId="6" fillId="33" borderId="0" xfId="0" applyFont="1" applyFill="1" applyBorder="1" applyAlignment="1">
      <alignment/>
    </xf>
    <xf numFmtId="171" fontId="6" fillId="33" borderId="14" xfId="62" applyFont="1" applyFill="1" applyBorder="1" applyAlignment="1">
      <alignment/>
    </xf>
    <xf numFmtId="0" fontId="0" fillId="34" borderId="15" xfId="0" applyFill="1" applyBorder="1" applyAlignment="1">
      <alignment/>
    </xf>
    <xf numFmtId="0" fontId="0" fillId="34" borderId="16" xfId="0" applyFill="1" applyBorder="1" applyAlignment="1">
      <alignment/>
    </xf>
    <xf numFmtId="171" fontId="6" fillId="33" borderId="17" xfId="62" applyFont="1" applyFill="1" applyBorder="1" applyAlignment="1">
      <alignment/>
    </xf>
    <xf numFmtId="0" fontId="6" fillId="33" borderId="18" xfId="0" applyFont="1" applyFill="1" applyBorder="1" applyAlignment="1">
      <alignment/>
    </xf>
    <xf numFmtId="171" fontId="6" fillId="33" borderId="14" xfId="62" applyFont="1" applyFill="1" applyBorder="1" applyAlignment="1">
      <alignment/>
    </xf>
    <xf numFmtId="171" fontId="6" fillId="33" borderId="13" xfId="62" applyFont="1" applyFill="1" applyBorder="1" applyAlignment="1">
      <alignment/>
    </xf>
    <xf numFmtId="171" fontId="6" fillId="33" borderId="12" xfId="62" applyFont="1" applyFill="1" applyBorder="1" applyAlignment="1">
      <alignment/>
    </xf>
    <xf numFmtId="0" fontId="0" fillId="33" borderId="0" xfId="0" applyFont="1" applyFill="1" applyBorder="1" applyAlignment="1">
      <alignment/>
    </xf>
    <xf numFmtId="171" fontId="0" fillId="33" borderId="13" xfId="62" applyFont="1" applyFill="1" applyBorder="1" applyAlignment="1">
      <alignment/>
    </xf>
    <xf numFmtId="171" fontId="0" fillId="33" borderId="12" xfId="62" applyFont="1" applyFill="1" applyBorder="1" applyAlignment="1">
      <alignment/>
    </xf>
    <xf numFmtId="171" fontId="6" fillId="33" borderId="19" xfId="62" applyFont="1" applyFill="1" applyBorder="1" applyAlignment="1">
      <alignment/>
    </xf>
    <xf numFmtId="171" fontId="6" fillId="33" borderId="20" xfId="62" applyFont="1" applyFill="1" applyBorder="1" applyAlignment="1">
      <alignment/>
    </xf>
    <xf numFmtId="0" fontId="11" fillId="34" borderId="0" xfId="0" applyFont="1" applyFill="1" applyBorder="1" applyAlignment="1">
      <alignment/>
    </xf>
    <xf numFmtId="171" fontId="11" fillId="34" borderId="0" xfId="62" applyFont="1" applyFill="1" applyBorder="1" applyAlignment="1">
      <alignment/>
    </xf>
    <xf numFmtId="171" fontId="0" fillId="34" borderId="21" xfId="62" applyFont="1" applyFill="1" applyBorder="1" applyAlignment="1">
      <alignment/>
    </xf>
    <xf numFmtId="0" fontId="0" fillId="34" borderId="0" xfId="0" applyFill="1" applyBorder="1" applyAlignment="1">
      <alignment/>
    </xf>
    <xf numFmtId="171" fontId="0" fillId="34" borderId="0" xfId="62" applyFont="1" applyFill="1" applyBorder="1" applyAlignment="1">
      <alignment/>
    </xf>
    <xf numFmtId="171" fontId="0" fillId="34" borderId="15" xfId="62" applyFont="1" applyFill="1" applyBorder="1" applyAlignment="1">
      <alignment/>
    </xf>
    <xf numFmtId="171" fontId="0" fillId="34" borderId="22" xfId="62" applyFont="1" applyFill="1" applyBorder="1" applyAlignment="1">
      <alignment/>
    </xf>
    <xf numFmtId="0" fontId="11" fillId="34" borderId="11" xfId="0" applyFont="1" applyFill="1" applyBorder="1" applyAlignment="1">
      <alignment/>
    </xf>
    <xf numFmtId="171" fontId="11" fillId="34" borderId="11" xfId="62" applyFont="1" applyFill="1" applyBorder="1" applyAlignment="1">
      <alignment/>
    </xf>
    <xf numFmtId="171" fontId="0" fillId="34" borderId="23" xfId="62" applyFont="1" applyFill="1" applyBorder="1" applyAlignment="1">
      <alignment/>
    </xf>
    <xf numFmtId="0" fontId="13" fillId="34" borderId="10" xfId="0" applyFont="1" applyFill="1" applyBorder="1" applyAlignment="1">
      <alignment horizontal="left"/>
    </xf>
    <xf numFmtId="0" fontId="6" fillId="34" borderId="12" xfId="0" applyFont="1" applyFill="1" applyBorder="1" applyAlignment="1">
      <alignment/>
    </xf>
    <xf numFmtId="201" fontId="6" fillId="33" borderId="19" xfId="62" applyNumberFormat="1" applyFont="1" applyFill="1" applyBorder="1" applyAlignment="1">
      <alignment horizontal="center"/>
    </xf>
    <xf numFmtId="201" fontId="12" fillId="33" borderId="15" xfId="62" applyNumberFormat="1" applyFont="1" applyFill="1" applyBorder="1" applyAlignment="1">
      <alignment horizontal="center"/>
    </xf>
    <xf numFmtId="0" fontId="2" fillId="34" borderId="12" xfId="0" applyFont="1" applyFill="1" applyBorder="1" applyAlignment="1">
      <alignment/>
    </xf>
    <xf numFmtId="0" fontId="6" fillId="33" borderId="12" xfId="0" applyFont="1" applyFill="1" applyBorder="1" applyAlignment="1">
      <alignment/>
    </xf>
    <xf numFmtId="0" fontId="6" fillId="33" borderId="0" xfId="0" applyFont="1" applyFill="1" applyBorder="1" applyAlignment="1">
      <alignment/>
    </xf>
    <xf numFmtId="0" fontId="2" fillId="33" borderId="0" xfId="0" applyFont="1" applyFill="1" applyBorder="1" applyAlignment="1">
      <alignment horizontal="left"/>
    </xf>
    <xf numFmtId="0" fontId="0" fillId="33" borderId="0" xfId="0" applyFont="1" applyFill="1" applyAlignment="1">
      <alignment/>
    </xf>
    <xf numFmtId="0" fontId="7" fillId="33" borderId="0" xfId="0" applyFont="1" applyFill="1" applyBorder="1" applyAlignment="1">
      <alignment/>
    </xf>
    <xf numFmtId="0" fontId="1" fillId="33" borderId="24" xfId="0" applyFont="1" applyFill="1" applyBorder="1" applyAlignment="1">
      <alignment/>
    </xf>
    <xf numFmtId="0" fontId="1" fillId="33" borderId="25" xfId="0" applyFont="1" applyFill="1" applyBorder="1" applyAlignment="1">
      <alignment/>
    </xf>
    <xf numFmtId="0" fontId="3" fillId="33" borderId="24" xfId="0" applyFont="1" applyFill="1" applyBorder="1" applyAlignment="1">
      <alignment/>
    </xf>
    <xf numFmtId="0" fontId="2" fillId="33" borderId="25" xfId="0" applyFont="1" applyFill="1" applyBorder="1" applyAlignment="1">
      <alignment/>
    </xf>
    <xf numFmtId="0" fontId="4" fillId="33" borderId="24" xfId="0" applyFont="1" applyFill="1" applyBorder="1" applyAlignment="1">
      <alignment/>
    </xf>
    <xf numFmtId="0" fontId="2" fillId="33" borderId="24" xfId="0" applyFont="1" applyFill="1" applyBorder="1" applyAlignment="1">
      <alignment/>
    </xf>
    <xf numFmtId="0" fontId="1" fillId="33" borderId="26" xfId="0" applyFont="1" applyFill="1" applyBorder="1" applyAlignment="1">
      <alignment/>
    </xf>
    <xf numFmtId="0" fontId="1" fillId="33" borderId="27" xfId="0" applyFont="1" applyFill="1" applyBorder="1" applyAlignment="1">
      <alignment/>
    </xf>
    <xf numFmtId="0" fontId="1" fillId="33" borderId="28" xfId="0" applyFont="1" applyFill="1" applyBorder="1" applyAlignment="1">
      <alignment/>
    </xf>
    <xf numFmtId="10" fontId="14" fillId="33" borderId="29" xfId="50" applyNumberFormat="1" applyFont="1" applyFill="1" applyBorder="1" applyAlignment="1">
      <alignment/>
    </xf>
    <xf numFmtId="10" fontId="15" fillId="33" borderId="29" xfId="50" applyNumberFormat="1" applyFont="1" applyFill="1" applyBorder="1" applyAlignment="1">
      <alignment/>
    </xf>
    <xf numFmtId="10" fontId="15" fillId="33" borderId="30" xfId="50" applyNumberFormat="1" applyFont="1" applyFill="1" applyBorder="1" applyAlignment="1">
      <alignment/>
    </xf>
    <xf numFmtId="10" fontId="15" fillId="33" borderId="31" xfId="50" applyNumberFormat="1" applyFont="1" applyFill="1" applyBorder="1" applyAlignment="1">
      <alignment/>
    </xf>
    <xf numFmtId="10" fontId="1" fillId="33" borderId="30" xfId="50" applyNumberFormat="1" applyFont="1" applyFill="1" applyBorder="1" applyAlignment="1">
      <alignment/>
    </xf>
    <xf numFmtId="0" fontId="0" fillId="33" borderId="24" xfId="0" applyFont="1" applyFill="1" applyBorder="1" applyAlignment="1">
      <alignment/>
    </xf>
    <xf numFmtId="171" fontId="0" fillId="35" borderId="29" xfId="62" applyFont="1" applyFill="1" applyBorder="1" applyAlignment="1">
      <alignment/>
    </xf>
    <xf numFmtId="171" fontId="6" fillId="35" borderId="29" xfId="62" applyFont="1" applyFill="1" applyBorder="1" applyAlignment="1">
      <alignment/>
    </xf>
    <xf numFmtId="10" fontId="17" fillId="33" borderId="32" xfId="50" applyNumberFormat="1" applyFont="1" applyFill="1" applyBorder="1" applyAlignment="1">
      <alignment horizontal="center"/>
    </xf>
    <xf numFmtId="10" fontId="17" fillId="33" borderId="32" xfId="50" applyNumberFormat="1" applyFont="1" applyFill="1" applyBorder="1" applyAlignment="1">
      <alignment/>
    </xf>
    <xf numFmtId="171" fontId="6" fillId="35" borderId="32" xfId="62" applyFont="1" applyFill="1" applyBorder="1" applyAlignment="1">
      <alignment/>
    </xf>
    <xf numFmtId="0" fontId="6" fillId="33" borderId="24" xfId="0" applyFont="1" applyFill="1" applyBorder="1" applyAlignment="1">
      <alignment/>
    </xf>
    <xf numFmtId="0" fontId="2" fillId="34" borderId="23" xfId="0" applyFont="1" applyFill="1" applyBorder="1" applyAlignment="1">
      <alignment/>
    </xf>
    <xf numFmtId="17" fontId="2" fillId="34" borderId="23" xfId="0" applyNumberFormat="1" applyFont="1" applyFill="1" applyBorder="1" applyAlignment="1">
      <alignment horizontal="center"/>
    </xf>
    <xf numFmtId="171" fontId="10" fillId="34" borderId="10" xfId="62" applyFont="1" applyFill="1" applyBorder="1" applyAlignment="1">
      <alignment horizontal="center"/>
    </xf>
    <xf numFmtId="0" fontId="2" fillId="34" borderId="16" xfId="0" applyFont="1" applyFill="1" applyBorder="1" applyAlignment="1">
      <alignment/>
    </xf>
    <xf numFmtId="0" fontId="2" fillId="34" borderId="15" xfId="0" applyFont="1" applyFill="1" applyBorder="1" applyAlignment="1">
      <alignment/>
    </xf>
    <xf numFmtId="0" fontId="2" fillId="34" borderId="22" xfId="0" applyFont="1" applyFill="1" applyBorder="1" applyAlignment="1">
      <alignment/>
    </xf>
    <xf numFmtId="0" fontId="6" fillId="34" borderId="16" xfId="0" applyFont="1" applyFill="1" applyBorder="1" applyAlignment="1">
      <alignment horizontal="center"/>
    </xf>
    <xf numFmtId="0" fontId="1" fillId="33" borderId="12" xfId="0" applyFont="1" applyFill="1" applyBorder="1" applyAlignment="1">
      <alignment/>
    </xf>
    <xf numFmtId="171" fontId="1" fillId="33" borderId="20" xfId="62" applyFont="1" applyFill="1" applyBorder="1" applyAlignment="1">
      <alignment/>
    </xf>
    <xf numFmtId="0" fontId="15" fillId="33" borderId="0" xfId="0" applyFont="1" applyFill="1" applyBorder="1" applyAlignment="1">
      <alignment/>
    </xf>
    <xf numFmtId="171" fontId="1" fillId="33" borderId="13" xfId="62" applyFont="1" applyFill="1" applyBorder="1" applyAlignment="1">
      <alignment/>
    </xf>
    <xf numFmtId="0" fontId="3" fillId="33" borderId="12" xfId="0" applyFont="1" applyFill="1" applyBorder="1" applyAlignment="1">
      <alignment/>
    </xf>
    <xf numFmtId="171" fontId="2" fillId="33" borderId="13" xfId="62" applyFont="1" applyFill="1" applyBorder="1" applyAlignment="1">
      <alignment/>
    </xf>
    <xf numFmtId="10" fontId="14" fillId="33" borderId="13" xfId="50" applyNumberFormat="1" applyFont="1" applyFill="1" applyBorder="1" applyAlignment="1">
      <alignment/>
    </xf>
    <xf numFmtId="171" fontId="0" fillId="0" borderId="0" xfId="0" applyNumberFormat="1" applyAlignment="1">
      <alignment/>
    </xf>
    <xf numFmtId="0" fontId="4" fillId="33" borderId="12" xfId="0" applyFont="1" applyFill="1" applyBorder="1" applyAlignment="1">
      <alignment/>
    </xf>
    <xf numFmtId="10" fontId="15" fillId="33" borderId="13" xfId="50" applyNumberFormat="1" applyFont="1" applyFill="1" applyBorder="1" applyAlignment="1">
      <alignment/>
    </xf>
    <xf numFmtId="0" fontId="2" fillId="33" borderId="12" xfId="0" applyFont="1" applyFill="1" applyBorder="1" applyAlignment="1">
      <alignment/>
    </xf>
    <xf numFmtId="171" fontId="55" fillId="33" borderId="13" xfId="62" applyFont="1" applyFill="1" applyBorder="1" applyAlignment="1">
      <alignment/>
    </xf>
    <xf numFmtId="0" fontId="15" fillId="33" borderId="11" xfId="0" applyFont="1" applyFill="1" applyBorder="1" applyAlignment="1">
      <alignment/>
    </xf>
    <xf numFmtId="0" fontId="14" fillId="33" borderId="0" xfId="0" applyFont="1" applyFill="1" applyBorder="1" applyAlignment="1">
      <alignment/>
    </xf>
    <xf numFmtId="9" fontId="14" fillId="33" borderId="13" xfId="50" applyFont="1" applyFill="1" applyBorder="1" applyAlignment="1">
      <alignment/>
    </xf>
    <xf numFmtId="9" fontId="15" fillId="33" borderId="0" xfId="50" applyFont="1" applyFill="1" applyBorder="1" applyAlignment="1">
      <alignment/>
    </xf>
    <xf numFmtId="9" fontId="15" fillId="33" borderId="13" xfId="50" applyFont="1" applyFill="1" applyBorder="1" applyAlignment="1">
      <alignment/>
    </xf>
    <xf numFmtId="0" fontId="1" fillId="33" borderId="16" xfId="0" applyFont="1" applyFill="1" applyBorder="1" applyAlignment="1">
      <alignment/>
    </xf>
    <xf numFmtId="0" fontId="1" fillId="33" borderId="15" xfId="0" applyFont="1" applyFill="1" applyBorder="1" applyAlignment="1">
      <alignment/>
    </xf>
    <xf numFmtId="171" fontId="1" fillId="33" borderId="19" xfId="62" applyFont="1" applyFill="1" applyBorder="1" applyAlignment="1">
      <alignment/>
    </xf>
    <xf numFmtId="0" fontId="15" fillId="33" borderId="15" xfId="0" applyFont="1" applyFill="1" applyBorder="1" applyAlignment="1">
      <alignment/>
    </xf>
    <xf numFmtId="43" fontId="0" fillId="0" borderId="0" xfId="0" applyNumberFormat="1" applyAlignment="1">
      <alignment/>
    </xf>
    <xf numFmtId="171" fontId="1" fillId="33" borderId="12" xfId="62" applyFont="1" applyFill="1" applyBorder="1" applyAlignment="1">
      <alignment/>
    </xf>
    <xf numFmtId="171" fontId="2" fillId="33" borderId="12" xfId="62" applyFont="1" applyFill="1" applyBorder="1" applyAlignment="1">
      <alignment/>
    </xf>
    <xf numFmtId="171" fontId="0" fillId="33" borderId="12" xfId="62" applyFont="1" applyFill="1" applyBorder="1" applyAlignment="1">
      <alignment/>
    </xf>
    <xf numFmtId="171" fontId="6" fillId="35" borderId="12" xfId="62" applyFont="1" applyFill="1" applyBorder="1" applyAlignment="1">
      <alignment/>
    </xf>
    <xf numFmtId="171" fontId="1" fillId="33" borderId="10" xfId="62" applyFont="1" applyFill="1" applyBorder="1" applyAlignment="1">
      <alignment/>
    </xf>
    <xf numFmtId="171" fontId="1" fillId="33" borderId="16" xfId="62" applyFont="1" applyFill="1" applyBorder="1" applyAlignment="1">
      <alignment/>
    </xf>
    <xf numFmtId="17" fontId="6" fillId="34" borderId="10" xfId="0" applyNumberFormat="1" applyFont="1" applyFill="1" applyBorder="1" applyAlignment="1">
      <alignment horizontal="center"/>
    </xf>
    <xf numFmtId="171" fontId="10" fillId="34" borderId="33" xfId="62" applyFont="1" applyFill="1" applyBorder="1" applyAlignment="1">
      <alignment/>
    </xf>
    <xf numFmtId="0" fontId="6" fillId="34" borderId="34" xfId="0" applyFont="1" applyFill="1" applyBorder="1" applyAlignment="1">
      <alignment horizontal="center"/>
    </xf>
    <xf numFmtId="10" fontId="17" fillId="35" borderId="25" xfId="50" applyNumberFormat="1" applyFont="1" applyFill="1" applyBorder="1" applyAlignment="1">
      <alignment/>
    </xf>
    <xf numFmtId="0" fontId="1" fillId="12" borderId="0" xfId="0" applyFont="1" applyFill="1" applyBorder="1" applyAlignment="1">
      <alignment/>
    </xf>
    <xf numFmtId="0" fontId="2" fillId="12" borderId="35" xfId="0" applyFont="1" applyFill="1" applyBorder="1" applyAlignment="1">
      <alignment/>
    </xf>
    <xf numFmtId="0" fontId="2" fillId="12" borderId="36" xfId="0" applyFont="1" applyFill="1" applyBorder="1" applyAlignment="1">
      <alignment/>
    </xf>
    <xf numFmtId="0" fontId="2" fillId="12" borderId="26" xfId="0" applyFont="1" applyFill="1" applyBorder="1" applyAlignment="1">
      <alignment/>
    </xf>
    <xf numFmtId="0" fontId="1" fillId="12" borderId="27" xfId="0" applyFont="1" applyFill="1" applyBorder="1" applyAlignment="1">
      <alignment/>
    </xf>
    <xf numFmtId="0" fontId="6" fillId="33" borderId="35" xfId="0" applyFont="1" applyFill="1" applyBorder="1" applyAlignment="1">
      <alignment/>
    </xf>
    <xf numFmtId="0" fontId="6" fillId="33" borderId="37" xfId="0" applyFont="1" applyFill="1" applyBorder="1" applyAlignment="1">
      <alignment/>
    </xf>
    <xf numFmtId="0" fontId="5" fillId="12" borderId="36" xfId="0" applyFont="1" applyFill="1" applyBorder="1" applyAlignment="1">
      <alignment/>
    </xf>
    <xf numFmtId="0" fontId="12" fillId="12" borderId="36" xfId="0" applyFont="1" applyFill="1" applyBorder="1" applyAlignment="1">
      <alignment/>
    </xf>
    <xf numFmtId="0" fontId="7" fillId="12" borderId="27" xfId="0" applyFont="1" applyFill="1" applyBorder="1" applyAlignment="1">
      <alignment/>
    </xf>
    <xf numFmtId="0" fontId="0" fillId="12" borderId="27" xfId="0" applyFont="1" applyFill="1" applyBorder="1" applyAlignment="1">
      <alignment/>
    </xf>
    <xf numFmtId="0" fontId="0" fillId="35" borderId="0" xfId="0" applyFont="1" applyFill="1" applyAlignment="1">
      <alignment/>
    </xf>
    <xf numFmtId="0" fontId="5" fillId="12" borderId="0" xfId="0" applyFont="1" applyFill="1" applyBorder="1" applyAlignment="1">
      <alignment/>
    </xf>
    <xf numFmtId="0" fontId="12" fillId="12" borderId="0" xfId="0" applyFont="1" applyFill="1" applyBorder="1" applyAlignment="1">
      <alignment/>
    </xf>
    <xf numFmtId="0" fontId="2" fillId="12" borderId="24" xfId="0" applyFont="1" applyFill="1" applyBorder="1" applyAlignment="1">
      <alignment horizontal="left"/>
    </xf>
    <xf numFmtId="0" fontId="0" fillId="0" borderId="0" xfId="0" applyFont="1" applyAlignment="1">
      <alignment/>
    </xf>
    <xf numFmtId="0" fontId="6" fillId="0" borderId="32" xfId="0" applyFont="1" applyBorder="1" applyAlignment="1">
      <alignment horizontal="center" wrapText="1"/>
    </xf>
    <xf numFmtId="0" fontId="0" fillId="0" borderId="32" xfId="0" applyBorder="1" applyAlignment="1">
      <alignment/>
    </xf>
    <xf numFmtId="0" fontId="0" fillId="0" borderId="32" xfId="0" applyFont="1" applyBorder="1" applyAlignment="1">
      <alignment horizont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0" fillId="0" borderId="32" xfId="0" applyFont="1" applyBorder="1" applyAlignment="1">
      <alignment horizontal="center" vertical="center" wrapText="1"/>
    </xf>
    <xf numFmtId="0" fontId="55" fillId="0" borderId="0" xfId="0" applyFont="1" applyAlignment="1">
      <alignment/>
    </xf>
    <xf numFmtId="14" fontId="0" fillId="0" borderId="32" xfId="0" applyNumberFormat="1" applyBorder="1" applyAlignment="1">
      <alignment/>
    </xf>
    <xf numFmtId="0" fontId="0" fillId="0" borderId="32" xfId="0" applyFont="1" applyBorder="1" applyAlignment="1">
      <alignment/>
    </xf>
    <xf numFmtId="170" fontId="0" fillId="0" borderId="32" xfId="46" applyFont="1" applyBorder="1" applyAlignment="1">
      <alignment/>
    </xf>
    <xf numFmtId="0" fontId="6" fillId="36" borderId="32" xfId="0" applyFont="1" applyFill="1" applyBorder="1" applyAlignment="1">
      <alignment horizontal="center"/>
    </xf>
    <xf numFmtId="0" fontId="55" fillId="0" borderId="32" xfId="0" applyFont="1" applyBorder="1" applyAlignment="1">
      <alignment/>
    </xf>
    <xf numFmtId="0" fontId="13" fillId="0" borderId="0" xfId="0" applyFont="1" applyAlignment="1">
      <alignment/>
    </xf>
    <xf numFmtId="170" fontId="6" fillId="0" borderId="0" xfId="0" applyNumberFormat="1" applyFont="1" applyAlignment="1">
      <alignment/>
    </xf>
    <xf numFmtId="0" fontId="2" fillId="12" borderId="27" xfId="0" applyFont="1" applyFill="1" applyBorder="1" applyAlignment="1">
      <alignment/>
    </xf>
    <xf numFmtId="0" fontId="2" fillId="12" borderId="28" xfId="0" applyFont="1" applyFill="1" applyBorder="1" applyAlignment="1">
      <alignment/>
    </xf>
    <xf numFmtId="10" fontId="16" fillId="35" borderId="29" xfId="50" applyNumberFormat="1" applyFont="1" applyFill="1" applyBorder="1" applyAlignment="1">
      <alignment horizontal="center"/>
    </xf>
    <xf numFmtId="10" fontId="17" fillId="35" borderId="29" xfId="50" applyNumberFormat="1" applyFont="1" applyFill="1" applyBorder="1" applyAlignment="1">
      <alignment horizontal="center"/>
    </xf>
    <xf numFmtId="171" fontId="6" fillId="0" borderId="32" xfId="62" applyFont="1" applyFill="1" applyBorder="1" applyAlignment="1">
      <alignment/>
    </xf>
    <xf numFmtId="0" fontId="0" fillId="0" borderId="0" xfId="0" applyFont="1" applyFill="1" applyAlignment="1">
      <alignment/>
    </xf>
    <xf numFmtId="0" fontId="6" fillId="12" borderId="35" xfId="0" applyFont="1" applyFill="1" applyBorder="1" applyAlignment="1">
      <alignment/>
    </xf>
    <xf numFmtId="0" fontId="0" fillId="12" borderId="36" xfId="0" applyFont="1" applyFill="1" applyBorder="1" applyAlignment="1">
      <alignment/>
    </xf>
    <xf numFmtId="0" fontId="0" fillId="12" borderId="24" xfId="0" applyFont="1" applyFill="1" applyBorder="1" applyAlignment="1">
      <alignment horizontal="left"/>
    </xf>
    <xf numFmtId="0" fontId="0" fillId="12" borderId="0" xfId="0" applyFont="1" applyFill="1" applyBorder="1" applyAlignment="1">
      <alignment/>
    </xf>
    <xf numFmtId="0" fontId="5" fillId="12" borderId="26" xfId="0" applyFont="1" applyFill="1" applyBorder="1" applyAlignment="1">
      <alignment/>
    </xf>
    <xf numFmtId="0" fontId="5" fillId="12" borderId="27" xfId="0" applyFont="1" applyFill="1" applyBorder="1" applyAlignment="1">
      <alignment/>
    </xf>
    <xf numFmtId="0" fontId="0" fillId="12" borderId="24" xfId="0" applyFont="1" applyFill="1" applyBorder="1" applyAlignment="1">
      <alignment/>
    </xf>
    <xf numFmtId="0" fontId="5" fillId="33" borderId="37" xfId="0" applyFont="1" applyFill="1" applyBorder="1" applyAlignment="1">
      <alignment/>
    </xf>
    <xf numFmtId="0" fontId="5" fillId="33" borderId="38" xfId="0" applyFont="1" applyFill="1" applyBorder="1" applyAlignment="1">
      <alignment/>
    </xf>
    <xf numFmtId="0" fontId="5" fillId="33" borderId="24" xfId="0" applyFont="1" applyFill="1" applyBorder="1" applyAlignment="1">
      <alignment/>
    </xf>
    <xf numFmtId="0" fontId="5" fillId="33" borderId="0" xfId="0" applyFont="1" applyFill="1" applyBorder="1" applyAlignment="1">
      <alignment/>
    </xf>
    <xf numFmtId="171" fontId="6" fillId="35" borderId="33" xfId="62" applyFont="1" applyFill="1" applyBorder="1" applyAlignment="1">
      <alignment/>
    </xf>
    <xf numFmtId="10" fontId="17" fillId="35" borderId="25" xfId="50" applyNumberFormat="1" applyFont="1" applyFill="1" applyBorder="1" applyAlignment="1">
      <alignment horizontal="center"/>
    </xf>
    <xf numFmtId="10" fontId="16" fillId="35" borderId="25" xfId="50" applyNumberFormat="1" applyFont="1" applyFill="1" applyBorder="1" applyAlignment="1">
      <alignment horizontal="center"/>
    </xf>
    <xf numFmtId="0" fontId="12" fillId="33" borderId="24" xfId="0" applyFont="1" applyFill="1" applyBorder="1" applyAlignment="1">
      <alignment/>
    </xf>
    <xf numFmtId="0" fontId="12" fillId="33" borderId="0" xfId="0" applyFont="1" applyFill="1" applyBorder="1" applyAlignment="1">
      <alignment/>
    </xf>
    <xf numFmtId="10" fontId="17" fillId="35" borderId="39" xfId="50" applyNumberFormat="1" applyFont="1" applyFill="1" applyBorder="1" applyAlignment="1">
      <alignment horizontal="center"/>
    </xf>
    <xf numFmtId="0" fontId="0" fillId="33" borderId="36" xfId="0" applyFont="1" applyFill="1" applyBorder="1" applyAlignment="1">
      <alignment/>
    </xf>
    <xf numFmtId="10" fontId="17" fillId="35" borderId="40" xfId="50" applyNumberFormat="1" applyFont="1" applyFill="1" applyBorder="1" applyAlignment="1">
      <alignment horizontal="center"/>
    </xf>
    <xf numFmtId="0" fontId="0" fillId="33" borderId="26" xfId="0" applyFont="1" applyFill="1" applyBorder="1" applyAlignment="1">
      <alignment/>
    </xf>
    <xf numFmtId="0" fontId="0" fillId="33" borderId="27" xfId="0" applyFont="1" applyFill="1" applyBorder="1" applyAlignment="1">
      <alignment/>
    </xf>
    <xf numFmtId="171" fontId="6" fillId="35" borderId="31" xfId="62" applyFont="1" applyFill="1" applyBorder="1" applyAlignment="1">
      <alignment/>
    </xf>
    <xf numFmtId="10" fontId="16" fillId="35" borderId="28" xfId="50" applyNumberFormat="1" applyFont="1" applyFill="1" applyBorder="1" applyAlignment="1">
      <alignment horizontal="center"/>
    </xf>
    <xf numFmtId="171" fontId="6" fillId="0" borderId="31" xfId="62" applyFont="1" applyFill="1" applyBorder="1" applyAlignment="1">
      <alignment/>
    </xf>
    <xf numFmtId="10" fontId="0" fillId="33" borderId="0" xfId="0" applyNumberFormat="1" applyFont="1" applyFill="1" applyAlignment="1">
      <alignment/>
    </xf>
    <xf numFmtId="10" fontId="12" fillId="12" borderId="36" xfId="0" applyNumberFormat="1" applyFont="1" applyFill="1" applyBorder="1" applyAlignment="1">
      <alignment/>
    </xf>
    <xf numFmtId="10" fontId="12" fillId="12" borderId="0" xfId="0" applyNumberFormat="1" applyFont="1" applyFill="1" applyBorder="1" applyAlignment="1">
      <alignment/>
    </xf>
    <xf numFmtId="10" fontId="7" fillId="12" borderId="27" xfId="0" applyNumberFormat="1" applyFont="1" applyFill="1" applyBorder="1" applyAlignment="1">
      <alignment/>
    </xf>
    <xf numFmtId="10" fontId="17" fillId="12" borderId="29" xfId="0" applyNumberFormat="1" applyFont="1" applyFill="1" applyBorder="1" applyAlignment="1">
      <alignment horizontal="center"/>
    </xf>
    <xf numFmtId="10" fontId="6" fillId="35" borderId="32" xfId="50" applyNumberFormat="1" applyFont="1" applyFill="1" applyBorder="1" applyAlignment="1">
      <alignment/>
    </xf>
    <xf numFmtId="10" fontId="0" fillId="35" borderId="0" xfId="0" applyNumberFormat="1" applyFont="1" applyFill="1" applyAlignment="1">
      <alignment/>
    </xf>
    <xf numFmtId="0" fontId="6" fillId="12" borderId="36" xfId="0" applyFont="1" applyFill="1" applyBorder="1" applyAlignment="1">
      <alignment/>
    </xf>
    <xf numFmtId="0" fontId="16" fillId="33" borderId="29" xfId="0" applyFont="1" applyFill="1" applyBorder="1" applyAlignment="1">
      <alignment horizontal="center"/>
    </xf>
    <xf numFmtId="171" fontId="6" fillId="0" borderId="29" xfId="62" applyFont="1" applyFill="1" applyBorder="1" applyAlignment="1">
      <alignment/>
    </xf>
    <xf numFmtId="171" fontId="0" fillId="0" borderId="29" xfId="62" applyFont="1" applyFill="1" applyBorder="1" applyAlignment="1">
      <alignment/>
    </xf>
    <xf numFmtId="0" fontId="17" fillId="33" borderId="29" xfId="0" applyFont="1" applyFill="1" applyBorder="1" applyAlignment="1">
      <alignment horizontal="center"/>
    </xf>
    <xf numFmtId="171" fontId="0" fillId="33" borderId="31" xfId="62" applyFont="1" applyFill="1" applyBorder="1" applyAlignment="1">
      <alignment/>
    </xf>
    <xf numFmtId="0" fontId="16" fillId="33" borderId="31" xfId="0" applyFont="1" applyFill="1" applyBorder="1" applyAlignment="1">
      <alignment horizontal="center"/>
    </xf>
    <xf numFmtId="43" fontId="0" fillId="33" borderId="0" xfId="0" applyNumberFormat="1" applyFont="1" applyFill="1" applyAlignment="1">
      <alignment/>
    </xf>
    <xf numFmtId="10" fontId="12" fillId="12" borderId="40" xfId="0" applyNumberFormat="1" applyFont="1" applyFill="1" applyBorder="1" applyAlignment="1">
      <alignment/>
    </xf>
    <xf numFmtId="10" fontId="12" fillId="12" borderId="25" xfId="0" applyNumberFormat="1" applyFont="1" applyFill="1" applyBorder="1" applyAlignment="1">
      <alignment/>
    </xf>
    <xf numFmtId="171" fontId="56" fillId="35" borderId="29" xfId="62" applyFont="1" applyFill="1" applyBorder="1" applyAlignment="1">
      <alignment/>
    </xf>
    <xf numFmtId="171" fontId="57" fillId="35" borderId="29" xfId="62" applyFont="1" applyFill="1" applyBorder="1" applyAlignment="1">
      <alignment/>
    </xf>
    <xf numFmtId="0" fontId="6" fillId="12" borderId="40" xfId="0" applyFont="1" applyFill="1" applyBorder="1" applyAlignment="1">
      <alignment/>
    </xf>
    <xf numFmtId="0" fontId="0" fillId="12" borderId="25" xfId="0" applyFont="1" applyFill="1" applyBorder="1" applyAlignment="1">
      <alignment/>
    </xf>
    <xf numFmtId="0" fontId="0" fillId="12" borderId="28" xfId="0" applyFont="1" applyFill="1" applyBorder="1" applyAlignment="1">
      <alignment/>
    </xf>
    <xf numFmtId="171" fontId="0" fillId="35" borderId="31" xfId="62" applyFont="1" applyFill="1" applyBorder="1" applyAlignment="1">
      <alignment/>
    </xf>
    <xf numFmtId="171" fontId="17" fillId="12" borderId="32" xfId="62" applyFont="1" applyFill="1" applyBorder="1" applyAlignment="1">
      <alignment horizontal="center" vertical="center"/>
    </xf>
    <xf numFmtId="17" fontId="5" fillId="12" borderId="31" xfId="0" applyNumberFormat="1" applyFont="1" applyFill="1" applyBorder="1" applyAlignment="1">
      <alignment horizontal="center" vertical="center"/>
    </xf>
    <xf numFmtId="171" fontId="17" fillId="12" borderId="31" xfId="62" applyFont="1" applyFill="1" applyBorder="1" applyAlignment="1">
      <alignment horizontal="center" vertical="center"/>
    </xf>
    <xf numFmtId="0" fontId="6" fillId="12" borderId="29" xfId="0" applyNumberFormat="1" applyFont="1" applyFill="1" applyBorder="1" applyAlignment="1">
      <alignment horizontal="center"/>
    </xf>
    <xf numFmtId="17" fontId="6" fillId="12" borderId="29" xfId="0" applyNumberFormat="1" applyFont="1" applyFill="1" applyBorder="1" applyAlignment="1">
      <alignment horizontal="center"/>
    </xf>
    <xf numFmtId="171" fontId="56" fillId="0" borderId="29" xfId="62" applyFont="1" applyFill="1" applyBorder="1" applyAlignment="1">
      <alignment/>
    </xf>
    <xf numFmtId="171" fontId="0" fillId="35" borderId="0" xfId="62" applyFont="1" applyFill="1" applyAlignment="1">
      <alignment/>
    </xf>
    <xf numFmtId="10" fontId="17" fillId="12" borderId="31" xfId="0" applyNumberFormat="1" applyFont="1" applyFill="1" applyBorder="1" applyAlignment="1">
      <alignment horizontal="center"/>
    </xf>
    <xf numFmtId="43" fontId="6" fillId="35" borderId="32" xfId="62" applyNumberFormat="1" applyFont="1" applyFill="1" applyBorder="1" applyAlignment="1">
      <alignment/>
    </xf>
    <xf numFmtId="43" fontId="0" fillId="33" borderId="0" xfId="0" applyNumberFormat="1" applyFill="1" applyAlignment="1">
      <alignment/>
    </xf>
    <xf numFmtId="4" fontId="6" fillId="0" borderId="31" xfId="62" applyNumberFormat="1" applyFont="1" applyFill="1" applyBorder="1" applyAlignment="1">
      <alignment/>
    </xf>
    <xf numFmtId="171" fontId="0" fillId="33" borderId="0" xfId="0" applyNumberFormat="1" applyFill="1" applyAlignment="1">
      <alignment/>
    </xf>
    <xf numFmtId="10" fontId="17" fillId="35" borderId="0" xfId="50" applyNumberFormat="1" applyFont="1" applyFill="1" applyBorder="1" applyAlignment="1">
      <alignment horizontal="center"/>
    </xf>
    <xf numFmtId="10" fontId="17" fillId="35" borderId="0" xfId="50" applyNumberFormat="1" applyFont="1" applyFill="1" applyBorder="1" applyAlignment="1">
      <alignment/>
    </xf>
    <xf numFmtId="10" fontId="16" fillId="35" borderId="0" xfId="50" applyNumberFormat="1" applyFont="1" applyFill="1" applyBorder="1" applyAlignment="1">
      <alignment horizontal="center"/>
    </xf>
    <xf numFmtId="10" fontId="6" fillId="12" borderId="36" xfId="0" applyNumberFormat="1" applyFont="1" applyFill="1" applyBorder="1" applyAlignment="1">
      <alignment/>
    </xf>
    <xf numFmtId="10" fontId="6" fillId="12" borderId="0" xfId="0" applyNumberFormat="1" applyFont="1" applyFill="1" applyBorder="1" applyAlignment="1">
      <alignment/>
    </xf>
    <xf numFmtId="171" fontId="6" fillId="12" borderId="32" xfId="62" applyFont="1" applyFill="1" applyBorder="1" applyAlignment="1">
      <alignment/>
    </xf>
    <xf numFmtId="10" fontId="17" fillId="12" borderId="32" xfId="50" applyNumberFormat="1" applyFont="1" applyFill="1" applyBorder="1" applyAlignment="1">
      <alignment/>
    </xf>
    <xf numFmtId="10" fontId="18" fillId="12" borderId="33" xfId="50" applyNumberFormat="1" applyFont="1" applyFill="1" applyBorder="1" applyAlignment="1">
      <alignment/>
    </xf>
    <xf numFmtId="10" fontId="17" fillId="12" borderId="25" xfId="50" applyNumberFormat="1" applyFont="1" applyFill="1" applyBorder="1" applyAlignment="1">
      <alignment/>
    </xf>
    <xf numFmtId="171" fontId="6" fillId="12" borderId="29" xfId="62" applyFont="1" applyFill="1" applyBorder="1" applyAlignment="1">
      <alignment/>
    </xf>
    <xf numFmtId="10" fontId="17" fillId="12" borderId="25" xfId="50" applyNumberFormat="1" applyFont="1" applyFill="1" applyBorder="1" applyAlignment="1">
      <alignment horizontal="center"/>
    </xf>
    <xf numFmtId="10" fontId="19" fillId="12" borderId="29" xfId="50" applyNumberFormat="1" applyFont="1" applyFill="1" applyBorder="1" applyAlignment="1">
      <alignment horizontal="center"/>
    </xf>
    <xf numFmtId="10" fontId="16" fillId="12" borderId="25" xfId="50" applyNumberFormat="1" applyFont="1" applyFill="1" applyBorder="1" applyAlignment="1">
      <alignment horizontal="center"/>
    </xf>
    <xf numFmtId="171" fontId="19" fillId="12" borderId="29" xfId="50" applyNumberFormat="1" applyFont="1" applyFill="1" applyBorder="1" applyAlignment="1">
      <alignment horizontal="center"/>
    </xf>
    <xf numFmtId="10" fontId="19" fillId="12" borderId="31" xfId="50" applyNumberFormat="1" applyFont="1" applyFill="1" applyBorder="1" applyAlignment="1">
      <alignment horizontal="center"/>
    </xf>
    <xf numFmtId="10" fontId="6" fillId="12" borderId="32" xfId="50" applyNumberFormat="1" applyFont="1" applyFill="1" applyBorder="1" applyAlignment="1">
      <alignment/>
    </xf>
    <xf numFmtId="10" fontId="18" fillId="12" borderId="29" xfId="50" applyNumberFormat="1" applyFont="1" applyFill="1" applyBorder="1" applyAlignment="1">
      <alignment horizontal="center"/>
    </xf>
    <xf numFmtId="10" fontId="17" fillId="12" borderId="29" xfId="50" applyNumberFormat="1" applyFont="1" applyFill="1" applyBorder="1" applyAlignment="1">
      <alignment horizontal="center"/>
    </xf>
    <xf numFmtId="171" fontId="0" fillId="12" borderId="29" xfId="62" applyFont="1" applyFill="1" applyBorder="1" applyAlignment="1">
      <alignment/>
    </xf>
    <xf numFmtId="10" fontId="16" fillId="12" borderId="29" xfId="50" applyNumberFormat="1" applyFont="1" applyFill="1" applyBorder="1" applyAlignment="1">
      <alignment horizontal="center"/>
    </xf>
    <xf numFmtId="171" fontId="19" fillId="12" borderId="29" xfId="62" applyFont="1" applyFill="1" applyBorder="1" applyAlignment="1">
      <alignment horizontal="center"/>
    </xf>
    <xf numFmtId="10" fontId="17" fillId="12" borderId="39" xfId="50" applyNumberFormat="1" applyFont="1" applyFill="1" applyBorder="1" applyAlignment="1">
      <alignment horizontal="center"/>
    </xf>
    <xf numFmtId="10" fontId="18" fillId="12" borderId="40" xfId="50" applyNumberFormat="1" applyFont="1" applyFill="1" applyBorder="1" applyAlignment="1">
      <alignment horizontal="center"/>
    </xf>
    <xf numFmtId="10" fontId="17" fillId="12" borderId="40" xfId="50" applyNumberFormat="1" applyFont="1" applyFill="1" applyBorder="1" applyAlignment="1">
      <alignment horizontal="center"/>
    </xf>
    <xf numFmtId="10" fontId="18" fillId="12" borderId="25" xfId="50" applyNumberFormat="1" applyFont="1" applyFill="1" applyBorder="1" applyAlignment="1">
      <alignment horizontal="center"/>
    </xf>
    <xf numFmtId="171" fontId="19" fillId="12" borderId="25" xfId="62" applyFont="1" applyFill="1" applyBorder="1" applyAlignment="1">
      <alignment horizontal="center"/>
    </xf>
    <xf numFmtId="10" fontId="19" fillId="12" borderId="25" xfId="50" applyNumberFormat="1" applyFont="1" applyFill="1" applyBorder="1" applyAlignment="1">
      <alignment horizontal="center"/>
    </xf>
    <xf numFmtId="10" fontId="19" fillId="12" borderId="28" xfId="50" applyNumberFormat="1" applyFont="1" applyFill="1" applyBorder="1" applyAlignment="1">
      <alignment horizontal="center"/>
    </xf>
    <xf numFmtId="10" fontId="16" fillId="12" borderId="28" xfId="50" applyNumberFormat="1" applyFont="1" applyFill="1" applyBorder="1" applyAlignment="1">
      <alignment horizontal="center"/>
    </xf>
    <xf numFmtId="171" fontId="6" fillId="12" borderId="31" xfId="62" applyFont="1" applyFill="1" applyBorder="1" applyAlignment="1">
      <alignment/>
    </xf>
    <xf numFmtId="10" fontId="17" fillId="12" borderId="32" xfId="50" applyNumberFormat="1" applyFont="1" applyFill="1" applyBorder="1" applyAlignment="1">
      <alignment horizontal="center"/>
    </xf>
    <xf numFmtId="10" fontId="18" fillId="12" borderId="26" xfId="0" applyNumberFormat="1" applyFont="1" applyFill="1" applyBorder="1" applyAlignment="1">
      <alignment/>
    </xf>
    <xf numFmtId="171" fontId="6" fillId="33" borderId="0" xfId="0" applyNumberFormat="1" applyFont="1" applyFill="1" applyAlignment="1">
      <alignment/>
    </xf>
    <xf numFmtId="171" fontId="0" fillId="35" borderId="33" xfId="62" applyFont="1" applyFill="1" applyBorder="1" applyAlignment="1">
      <alignment/>
    </xf>
    <xf numFmtId="171" fontId="6" fillId="33" borderId="29" xfId="0" applyNumberFormat="1" applyFont="1" applyFill="1" applyBorder="1" applyAlignment="1">
      <alignment/>
    </xf>
    <xf numFmtId="2" fontId="0" fillId="33" borderId="0" xfId="0" applyNumberFormat="1" applyFont="1" applyFill="1" applyAlignment="1">
      <alignment/>
    </xf>
    <xf numFmtId="171" fontId="0" fillId="33" borderId="0" xfId="62" applyFont="1" applyFill="1" applyBorder="1" applyAlignment="1">
      <alignment/>
    </xf>
    <xf numFmtId="171" fontId="0" fillId="35" borderId="0" xfId="62" applyFont="1" applyFill="1" applyBorder="1" applyAlignment="1">
      <alignment/>
    </xf>
    <xf numFmtId="0" fontId="55" fillId="0" borderId="24" xfId="0" applyFont="1" applyBorder="1" applyAlignment="1">
      <alignment horizontal="left" wrapText="1"/>
    </xf>
    <xf numFmtId="0" fontId="55" fillId="0" borderId="0" xfId="0" applyFont="1" applyAlignment="1">
      <alignment horizontal="left" wrapText="1"/>
    </xf>
    <xf numFmtId="0" fontId="55" fillId="0" borderId="24" xfId="0" applyFont="1" applyFill="1" applyBorder="1" applyAlignment="1">
      <alignment horizontal="left" wrapText="1"/>
    </xf>
    <xf numFmtId="0" fontId="55" fillId="0" borderId="0" xfId="0" applyFont="1" applyFill="1" applyAlignment="1">
      <alignment horizontal="left" wrapText="1"/>
    </xf>
    <xf numFmtId="0" fontId="55" fillId="0" borderId="24" xfId="0" applyFont="1" applyFill="1" applyBorder="1" applyAlignment="1">
      <alignment horizontal="left"/>
    </xf>
    <xf numFmtId="0" fontId="55" fillId="0" borderId="0" xfId="0" applyFont="1" applyFill="1" applyAlignment="1">
      <alignment horizontal="left"/>
    </xf>
    <xf numFmtId="0" fontId="2" fillId="33" borderId="0" xfId="0" applyFont="1" applyFill="1" applyBorder="1" applyAlignment="1">
      <alignment horizontal="left"/>
    </xf>
    <xf numFmtId="0" fontId="2" fillId="33" borderId="21" xfId="0" applyFont="1" applyFill="1" applyBorder="1" applyAlignment="1">
      <alignment horizontal="left"/>
    </xf>
    <xf numFmtId="0" fontId="13" fillId="0" borderId="0" xfId="0" applyFont="1" applyAlignment="1">
      <alignment horizontal="center"/>
    </xf>
    <xf numFmtId="0" fontId="6" fillId="33" borderId="0" xfId="0" applyFont="1" applyFill="1" applyAlignment="1">
      <alignment/>
    </xf>
    <xf numFmtId="0" fontId="0" fillId="33" borderId="0" xfId="0" applyFont="1" applyFill="1" applyBorder="1" applyAlignment="1">
      <alignment horizontal="left"/>
    </xf>
    <xf numFmtId="10" fontId="18" fillId="12" borderId="27" xfId="0" applyNumberFormat="1" applyFont="1" applyFill="1" applyBorder="1" applyAlignment="1">
      <alignment horizontal="center"/>
    </xf>
    <xf numFmtId="10" fontId="18" fillId="12" borderId="28" xfId="0" applyNumberFormat="1" applyFont="1" applyFill="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4"/>
  <sheetViews>
    <sheetView zoomScalePageLayoutView="0" workbookViewId="0" topLeftCell="A1">
      <selection activeCell="E33" sqref="E33"/>
    </sheetView>
  </sheetViews>
  <sheetFormatPr defaultColWidth="9.140625" defaultRowHeight="12.75"/>
  <cols>
    <col min="4" max="4" width="4.8515625" style="0" customWidth="1"/>
    <col min="5" max="5" width="17.00390625" style="0" customWidth="1"/>
    <col min="6" max="6" width="22.140625" style="0" bestFit="1" customWidth="1"/>
    <col min="7" max="7" width="19.57421875" style="0" customWidth="1"/>
  </cols>
  <sheetData>
    <row r="1" spans="1:7" ht="15.75">
      <c r="A1" s="44" t="s">
        <v>47</v>
      </c>
      <c r="B1" s="41"/>
      <c r="C1" s="41"/>
      <c r="D1" s="41"/>
      <c r="E1" s="42"/>
      <c r="F1" s="42"/>
      <c r="G1" s="43"/>
    </row>
    <row r="2" spans="1:7" ht="18" customHeight="1">
      <c r="A2" s="48" t="s">
        <v>25</v>
      </c>
      <c r="B2" s="34"/>
      <c r="C2" s="34"/>
      <c r="D2" s="34"/>
      <c r="E2" s="35"/>
      <c r="F2" s="35"/>
      <c r="G2" s="36"/>
    </row>
    <row r="3" spans="1:7" ht="18" customHeight="1">
      <c r="A3" s="45" t="s">
        <v>42</v>
      </c>
      <c r="B3" s="37"/>
      <c r="C3" s="37"/>
      <c r="D3" s="37"/>
      <c r="E3" s="38"/>
      <c r="F3" s="38"/>
      <c r="G3" s="36"/>
    </row>
    <row r="4" spans="1:7" ht="13.5" thickBot="1">
      <c r="A4" s="23"/>
      <c r="B4" s="22"/>
      <c r="C4" s="22"/>
      <c r="D4" s="22"/>
      <c r="E4" s="39"/>
      <c r="F4" s="39"/>
      <c r="G4" s="40"/>
    </row>
    <row r="5" spans="1:7" ht="13.5" thickBot="1">
      <c r="A5" s="15" t="s">
        <v>0</v>
      </c>
      <c r="B5" s="19"/>
      <c r="C5" s="19"/>
      <c r="D5" s="19"/>
      <c r="E5" s="47" t="s">
        <v>43</v>
      </c>
      <c r="F5" s="47" t="s">
        <v>48</v>
      </c>
      <c r="G5" s="46" t="s">
        <v>39</v>
      </c>
    </row>
    <row r="6" spans="1:7" ht="13.5" thickBot="1">
      <c r="A6" s="24" t="s">
        <v>40</v>
      </c>
      <c r="B6" s="25"/>
      <c r="C6" s="25"/>
      <c r="D6" s="25"/>
      <c r="E6" s="21">
        <v>0</v>
      </c>
      <c r="F6" s="21">
        <v>5421.22</v>
      </c>
      <c r="G6" s="26">
        <f>+E6+F6</f>
        <v>5421.22</v>
      </c>
    </row>
    <row r="7" spans="1:7" ht="12.75">
      <c r="A7" s="15"/>
      <c r="B7" s="20"/>
      <c r="C7" s="20"/>
      <c r="D7" s="20"/>
      <c r="E7" s="27"/>
      <c r="F7" s="28"/>
      <c r="G7" s="27"/>
    </row>
    <row r="8" spans="1:7" ht="12.75">
      <c r="A8" s="49" t="s">
        <v>49</v>
      </c>
      <c r="B8" s="50"/>
      <c r="C8" s="29"/>
      <c r="D8" s="29"/>
      <c r="E8" s="30"/>
      <c r="F8" s="31">
        <v>0</v>
      </c>
      <c r="G8" s="18">
        <f aca="true" t="shared" si="0" ref="G8:G13">SUM(D8:F8)</f>
        <v>0</v>
      </c>
    </row>
    <row r="9" spans="1:7" ht="12.75">
      <c r="A9" s="16" t="s">
        <v>50</v>
      </c>
      <c r="B9" s="29"/>
      <c r="C9" s="29"/>
      <c r="D9" s="29"/>
      <c r="E9" s="30">
        <v>45000</v>
      </c>
      <c r="F9" s="31"/>
      <c r="G9" s="18">
        <f t="shared" si="0"/>
        <v>45000</v>
      </c>
    </row>
    <row r="10" spans="1:7" ht="12.75">
      <c r="A10" s="16"/>
      <c r="B10" s="29"/>
      <c r="C10" s="29"/>
      <c r="D10" s="29"/>
      <c r="E10" s="30"/>
      <c r="F10" s="31"/>
      <c r="G10" s="18">
        <f t="shared" si="0"/>
        <v>0</v>
      </c>
    </row>
    <row r="11" spans="1:7" ht="12.75">
      <c r="A11" s="49" t="s">
        <v>44</v>
      </c>
      <c r="B11" s="50"/>
      <c r="C11" s="29"/>
      <c r="D11" s="29"/>
      <c r="E11" s="30"/>
      <c r="F11" s="31"/>
      <c r="G11" s="18">
        <f t="shared" si="0"/>
        <v>0</v>
      </c>
    </row>
    <row r="12" spans="1:7" ht="12.75">
      <c r="A12" s="16" t="s">
        <v>46</v>
      </c>
      <c r="B12" s="29"/>
      <c r="C12" s="29"/>
      <c r="D12" s="29"/>
      <c r="E12" s="30"/>
      <c r="F12" s="31">
        <v>116249.6</v>
      </c>
      <c r="G12" s="18">
        <f t="shared" si="0"/>
        <v>116249.6</v>
      </c>
    </row>
    <row r="13" spans="1:7" ht="12.75">
      <c r="A13" s="16"/>
      <c r="B13" s="29"/>
      <c r="C13" s="29"/>
      <c r="D13" s="29"/>
      <c r="E13" s="30"/>
      <c r="F13" s="31"/>
      <c r="G13" s="18">
        <f t="shared" si="0"/>
        <v>0</v>
      </c>
    </row>
    <row r="14" spans="1:7" ht="13.5" thickBot="1">
      <c r="A14" s="16"/>
      <c r="B14" s="29"/>
      <c r="C14" s="29"/>
      <c r="D14" s="29"/>
      <c r="E14" s="30"/>
      <c r="F14" s="31"/>
      <c r="G14" s="32"/>
    </row>
    <row r="15" spans="1:7" ht="13.5" thickBot="1">
      <c r="A15" s="24" t="s">
        <v>40</v>
      </c>
      <c r="B15" s="25"/>
      <c r="C15" s="25"/>
      <c r="D15" s="25"/>
      <c r="E15" s="26">
        <f>SUM(E6:E14)</f>
        <v>45000</v>
      </c>
      <c r="F15" s="24">
        <f>+F6+F9</f>
        <v>5421.22</v>
      </c>
      <c r="G15" s="26">
        <f>SUM(G6:G14)</f>
        <v>166670.82</v>
      </c>
    </row>
    <row r="16" spans="1:7" ht="12.75">
      <c r="A16" s="15"/>
      <c r="B16" s="20"/>
      <c r="C16" s="20"/>
      <c r="D16" s="20"/>
      <c r="E16" s="27"/>
      <c r="F16" s="28"/>
      <c r="G16" s="33"/>
    </row>
    <row r="17" spans="1:7" ht="12.75">
      <c r="A17" s="49" t="s">
        <v>49</v>
      </c>
      <c r="B17" s="50"/>
      <c r="C17" s="29"/>
      <c r="D17" s="29"/>
      <c r="E17" s="30"/>
      <c r="F17" s="31"/>
      <c r="G17" s="18">
        <f>SUM(D17:F17)</f>
        <v>0</v>
      </c>
    </row>
    <row r="18" spans="1:7" ht="12.75">
      <c r="A18" s="16" t="s">
        <v>50</v>
      </c>
      <c r="B18" s="29"/>
      <c r="C18" s="29"/>
      <c r="D18" s="29"/>
      <c r="E18" s="30"/>
      <c r="G18" s="18">
        <f>SUM(D18:F18)</f>
        <v>0</v>
      </c>
    </row>
    <row r="19" spans="1:7" ht="12.75">
      <c r="A19" s="16"/>
      <c r="B19" s="29"/>
      <c r="C19" s="29"/>
      <c r="D19" s="29"/>
      <c r="E19" s="30"/>
      <c r="F19" s="31"/>
      <c r="G19" s="18">
        <f>SUM(D19:F19)</f>
        <v>0</v>
      </c>
    </row>
    <row r="20" spans="1:7" ht="12.75">
      <c r="A20" s="49" t="s">
        <v>44</v>
      </c>
      <c r="B20" s="50"/>
      <c r="C20" s="29"/>
      <c r="D20" s="29"/>
      <c r="E20" s="30"/>
      <c r="F20" s="31"/>
      <c r="G20" s="18">
        <f>SUM(D20:F20)</f>
        <v>0</v>
      </c>
    </row>
    <row r="21" spans="1:7" ht="12.75">
      <c r="A21" s="16" t="s">
        <v>45</v>
      </c>
      <c r="B21" s="29"/>
      <c r="C21" s="29"/>
      <c r="D21" s="29"/>
      <c r="E21" s="30"/>
      <c r="F21" s="31">
        <v>236326.53</v>
      </c>
      <c r="G21" s="18">
        <f>SUM(D21:F21)</f>
        <v>236326.53</v>
      </c>
    </row>
    <row r="22" spans="1:7" ht="12.75">
      <c r="A22" s="16"/>
      <c r="B22" s="29"/>
      <c r="C22" s="29"/>
      <c r="D22" s="29"/>
      <c r="E22" s="30"/>
      <c r="F22" s="31"/>
      <c r="G22" s="27"/>
    </row>
    <row r="23" spans="1:7" ht="13.5" thickBot="1">
      <c r="A23" s="15"/>
      <c r="B23" s="20"/>
      <c r="C23" s="20"/>
      <c r="D23" s="20"/>
      <c r="E23" s="27"/>
      <c r="F23" s="28"/>
      <c r="G23" s="32">
        <f>SUM(D23:F23)</f>
        <v>0</v>
      </c>
    </row>
    <row r="24" spans="1:7" ht="13.5" thickBot="1">
      <c r="A24" s="24" t="s">
        <v>41</v>
      </c>
      <c r="B24" s="25"/>
      <c r="C24" s="25"/>
      <c r="D24" s="25"/>
      <c r="E24" s="26">
        <f>+E17+E15</f>
        <v>45000</v>
      </c>
      <c r="F24" s="24">
        <f>+F15+F21</f>
        <v>241747.75</v>
      </c>
      <c r="G24" s="26">
        <f>SUM(G15:G23)</f>
        <v>402997.35</v>
      </c>
    </row>
  </sheetData>
  <sheetProtection/>
  <printOptions/>
  <pageMargins left="0.787401575" right="0.787401575" top="0.984251969" bottom="0.984251969" header="0.492125985" footer="0.49212598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O26"/>
  <sheetViews>
    <sheetView zoomScalePageLayoutView="0" workbookViewId="0" topLeftCell="A7">
      <selection activeCell="D9" sqref="D9:O9"/>
    </sheetView>
  </sheetViews>
  <sheetFormatPr defaultColWidth="9.140625" defaultRowHeight="12.75"/>
  <cols>
    <col min="2" max="2" width="24.421875" style="0" customWidth="1"/>
    <col min="3" max="3" width="38.140625" style="0" customWidth="1"/>
    <col min="15" max="15" width="11.28125" style="0" customWidth="1"/>
  </cols>
  <sheetData>
    <row r="2" spans="2:4" ht="12.75">
      <c r="B2" s="130" t="s">
        <v>137</v>
      </c>
      <c r="C2" s="131"/>
      <c r="D2" s="136" t="s">
        <v>161</v>
      </c>
    </row>
    <row r="3" spans="2:15" ht="39.75" customHeight="1">
      <c r="B3" s="130" t="s">
        <v>138</v>
      </c>
      <c r="C3" s="132" t="s">
        <v>139</v>
      </c>
      <c r="D3" s="247" t="s">
        <v>162</v>
      </c>
      <c r="E3" s="248"/>
      <c r="F3" s="248"/>
      <c r="G3" s="248"/>
      <c r="H3" s="248"/>
      <c r="I3" s="248"/>
      <c r="J3" s="248"/>
      <c r="K3" s="248"/>
      <c r="L3" s="248"/>
      <c r="M3" s="248"/>
      <c r="N3" s="248"/>
      <c r="O3" s="248"/>
    </row>
    <row r="4" spans="2:15" ht="41.25" customHeight="1">
      <c r="B4" s="133" t="s">
        <v>140</v>
      </c>
      <c r="C4" s="132" t="s">
        <v>141</v>
      </c>
      <c r="D4" s="247" t="s">
        <v>171</v>
      </c>
      <c r="E4" s="248"/>
      <c r="F4" s="248"/>
      <c r="G4" s="248"/>
      <c r="H4" s="248"/>
      <c r="I4" s="248"/>
      <c r="J4" s="248"/>
      <c r="K4" s="248"/>
      <c r="L4" s="248"/>
      <c r="M4" s="248"/>
      <c r="N4" s="248"/>
      <c r="O4" s="248"/>
    </row>
    <row r="5" spans="2:15" ht="51.75" customHeight="1">
      <c r="B5" s="133" t="s">
        <v>115</v>
      </c>
      <c r="C5" s="135" t="s">
        <v>143</v>
      </c>
      <c r="D5" s="247" t="s">
        <v>163</v>
      </c>
      <c r="E5" s="248"/>
      <c r="F5" s="248"/>
      <c r="G5" s="248"/>
      <c r="H5" s="248"/>
      <c r="I5" s="248"/>
      <c r="J5" s="248"/>
      <c r="K5" s="248"/>
      <c r="L5" s="248"/>
      <c r="M5" s="248"/>
      <c r="N5" s="248"/>
      <c r="O5" s="248"/>
    </row>
    <row r="6" spans="2:15" ht="38.25" customHeight="1">
      <c r="B6" s="133" t="s">
        <v>144</v>
      </c>
      <c r="C6" s="132" t="s">
        <v>145</v>
      </c>
      <c r="D6" s="247" t="s">
        <v>172</v>
      </c>
      <c r="E6" s="248"/>
      <c r="F6" s="248"/>
      <c r="G6" s="248"/>
      <c r="H6" s="248"/>
      <c r="I6" s="248"/>
      <c r="J6" s="248"/>
      <c r="K6" s="248"/>
      <c r="L6" s="248"/>
      <c r="M6" s="248"/>
      <c r="N6" s="248"/>
      <c r="O6" s="248"/>
    </row>
    <row r="7" spans="2:4" ht="25.5">
      <c r="B7" s="134" t="s">
        <v>146</v>
      </c>
      <c r="C7" s="135" t="s">
        <v>147</v>
      </c>
      <c r="D7" s="136" t="s">
        <v>164</v>
      </c>
    </row>
    <row r="8" spans="2:4" ht="12.75">
      <c r="B8" s="133" t="s">
        <v>148</v>
      </c>
      <c r="C8" s="132" t="s">
        <v>149</v>
      </c>
      <c r="D8" s="136" t="s">
        <v>165</v>
      </c>
    </row>
    <row r="9" spans="2:15" ht="25.5">
      <c r="B9" s="133" t="s">
        <v>150</v>
      </c>
      <c r="C9" s="132" t="s">
        <v>151</v>
      </c>
      <c r="D9" s="251" t="s">
        <v>166</v>
      </c>
      <c r="E9" s="252"/>
      <c r="F9" s="252"/>
      <c r="G9" s="252"/>
      <c r="H9" s="252"/>
      <c r="I9" s="252"/>
      <c r="J9" s="252"/>
      <c r="K9" s="252"/>
      <c r="L9" s="252"/>
      <c r="M9" s="252"/>
      <c r="N9" s="252"/>
      <c r="O9" s="252"/>
    </row>
    <row r="10" spans="2:15" ht="25.5">
      <c r="B10" s="134" t="s">
        <v>152</v>
      </c>
      <c r="C10" s="135" t="s">
        <v>153</v>
      </c>
      <c r="D10" s="249" t="s">
        <v>203</v>
      </c>
      <c r="E10" s="250"/>
      <c r="F10" s="250"/>
      <c r="G10" s="250"/>
      <c r="H10" s="250"/>
      <c r="I10" s="250"/>
      <c r="J10" s="250"/>
      <c r="K10" s="250"/>
      <c r="L10" s="250"/>
      <c r="M10" s="250"/>
      <c r="N10" s="250"/>
      <c r="O10" s="250"/>
    </row>
    <row r="11" spans="2:4" ht="25.5">
      <c r="B11" s="134" t="s">
        <v>154</v>
      </c>
      <c r="C11" s="135" t="s">
        <v>155</v>
      </c>
      <c r="D11" s="136" t="s">
        <v>167</v>
      </c>
    </row>
    <row r="12" spans="2:15" ht="38.25">
      <c r="B12" s="134" t="s">
        <v>156</v>
      </c>
      <c r="C12" s="135" t="s">
        <v>157</v>
      </c>
      <c r="D12" s="247" t="s">
        <v>168</v>
      </c>
      <c r="E12" s="248"/>
      <c r="F12" s="248"/>
      <c r="G12" s="248"/>
      <c r="H12" s="248"/>
      <c r="I12" s="248"/>
      <c r="J12" s="248"/>
      <c r="K12" s="248"/>
      <c r="L12" s="248"/>
      <c r="M12" s="248"/>
      <c r="N12" s="248"/>
      <c r="O12" s="248"/>
    </row>
    <row r="13" spans="2:15" ht="52.5" customHeight="1">
      <c r="B13" s="134" t="s">
        <v>158</v>
      </c>
      <c r="C13" s="135" t="s">
        <v>159</v>
      </c>
      <c r="D13" s="247" t="s">
        <v>169</v>
      </c>
      <c r="E13" s="248"/>
      <c r="F13" s="248"/>
      <c r="G13" s="248"/>
      <c r="H13" s="248"/>
      <c r="I13" s="248"/>
      <c r="J13" s="248"/>
      <c r="K13" s="248"/>
      <c r="L13" s="248"/>
      <c r="M13" s="248"/>
      <c r="N13" s="248"/>
      <c r="O13" s="248"/>
    </row>
    <row r="14" spans="2:15" ht="38.25">
      <c r="B14" s="134" t="s">
        <v>160</v>
      </c>
      <c r="C14" s="135" t="s">
        <v>155</v>
      </c>
      <c r="D14" s="247" t="s">
        <v>170</v>
      </c>
      <c r="E14" s="248"/>
      <c r="F14" s="248"/>
      <c r="G14" s="248"/>
      <c r="H14" s="248"/>
      <c r="I14" s="248"/>
      <c r="J14" s="248"/>
      <c r="K14" s="248"/>
      <c r="L14" s="248"/>
      <c r="M14" s="248"/>
      <c r="N14" s="248"/>
      <c r="O14" s="248"/>
    </row>
    <row r="26" ht="12.75">
      <c r="N26" s="129" t="s">
        <v>142</v>
      </c>
    </row>
  </sheetData>
  <sheetProtection/>
  <mergeCells count="9">
    <mergeCell ref="D13:O13"/>
    <mergeCell ref="D14:O14"/>
    <mergeCell ref="D4:O4"/>
    <mergeCell ref="D3:O3"/>
    <mergeCell ref="D5:O5"/>
    <mergeCell ref="D6:O6"/>
    <mergeCell ref="D10:O10"/>
    <mergeCell ref="D9:O9"/>
    <mergeCell ref="D12:O12"/>
  </mergeCells>
  <printOptions/>
  <pageMargins left="0.511811024" right="0.511811024" top="0.787401575" bottom="0.787401575" header="0.31496062" footer="0.31496062"/>
  <pageSetup orientation="portrait" paperSize="9" r:id="rId1"/>
</worksheet>
</file>

<file path=xl/worksheets/sheet3.xml><?xml version="1.0" encoding="utf-8"?>
<worksheet xmlns="http://schemas.openxmlformats.org/spreadsheetml/2006/main" xmlns:r="http://schemas.openxmlformats.org/officeDocument/2006/relationships">
  <dimension ref="A1:K107"/>
  <sheetViews>
    <sheetView zoomScalePageLayoutView="0" workbookViewId="0" topLeftCell="A1">
      <selection activeCell="H4" sqref="H4:H104"/>
    </sheetView>
  </sheetViews>
  <sheetFormatPr defaultColWidth="9.140625" defaultRowHeight="12.75"/>
  <cols>
    <col min="2" max="2" width="3.28125" style="0" customWidth="1"/>
    <col min="3" max="3" width="3.00390625" style="0" customWidth="1"/>
    <col min="4" max="4" width="33.57421875" style="0" customWidth="1"/>
    <col min="5" max="5" width="12.8515625" style="0" bestFit="1" customWidth="1"/>
    <col min="6" max="6" width="7.421875" style="0" customWidth="1"/>
    <col min="7" max="7" width="12.8515625" style="0" bestFit="1" customWidth="1"/>
    <col min="8" max="8" width="10.421875" style="0" customWidth="1"/>
    <col min="10" max="10" width="9.28125" style="0" bestFit="1" customWidth="1"/>
    <col min="11" max="11" width="9.8515625" style="0" bestFit="1" customWidth="1"/>
  </cols>
  <sheetData>
    <row r="1" spans="1:8" ht="12.75">
      <c r="A1" s="6" t="s">
        <v>55</v>
      </c>
      <c r="B1" s="7"/>
      <c r="C1" s="7"/>
      <c r="D1" s="7"/>
      <c r="E1" s="7"/>
      <c r="F1" s="7"/>
      <c r="G1" s="8"/>
      <c r="H1" s="9"/>
    </row>
    <row r="2" spans="1:8" ht="12.75">
      <c r="A2" s="10" t="s">
        <v>117</v>
      </c>
      <c r="B2" s="11"/>
      <c r="C2" s="11"/>
      <c r="D2" s="11"/>
      <c r="E2" s="11"/>
      <c r="F2" s="11"/>
      <c r="G2" s="12"/>
      <c r="H2" s="13"/>
    </row>
    <row r="3" spans="1:8" ht="13.5" thickBot="1">
      <c r="A3" s="14" t="s">
        <v>27</v>
      </c>
      <c r="B3" s="11"/>
      <c r="C3" s="11"/>
      <c r="D3" s="11"/>
      <c r="E3" s="11"/>
      <c r="F3" s="11"/>
      <c r="G3" s="12"/>
      <c r="H3" s="13"/>
    </row>
    <row r="4" spans="1:8" ht="12.75">
      <c r="A4" s="6"/>
      <c r="B4" s="7"/>
      <c r="C4" s="7"/>
      <c r="D4" s="75"/>
      <c r="E4" s="76">
        <v>41091</v>
      </c>
      <c r="F4" s="77" t="s">
        <v>38</v>
      </c>
      <c r="G4" s="110">
        <v>39995</v>
      </c>
      <c r="H4" s="111" t="s">
        <v>38</v>
      </c>
    </row>
    <row r="5" spans="1:8" ht="13.5" thickBot="1">
      <c r="A5" s="78" t="s">
        <v>0</v>
      </c>
      <c r="B5" s="79"/>
      <c r="C5" s="79"/>
      <c r="D5" s="80"/>
      <c r="E5" s="80"/>
      <c r="F5" s="81" t="s">
        <v>1</v>
      </c>
      <c r="G5" s="81"/>
      <c r="H5" s="112" t="s">
        <v>1</v>
      </c>
    </row>
    <row r="6" spans="1:8" ht="12.75">
      <c r="A6" s="82"/>
      <c r="B6" s="1"/>
      <c r="C6" s="1"/>
      <c r="D6" s="1"/>
      <c r="E6" s="83"/>
      <c r="F6" s="84"/>
      <c r="G6" s="104"/>
      <c r="H6" s="67"/>
    </row>
    <row r="7" spans="1:10" ht="15">
      <c r="A7" s="86" t="s">
        <v>2</v>
      </c>
      <c r="B7" s="4"/>
      <c r="C7" s="4"/>
      <c r="D7" s="4"/>
      <c r="E7" s="87">
        <f>E9+E31</f>
        <v>2887432.9699999997</v>
      </c>
      <c r="F7" s="88">
        <f>+E7/E$7</f>
        <v>1</v>
      </c>
      <c r="G7" s="105">
        <f>G9+G31</f>
        <v>1904008.8400000003</v>
      </c>
      <c r="H7" s="63">
        <f>+G7/G$7</f>
        <v>1</v>
      </c>
      <c r="J7" s="89">
        <f>+G7-1904008.84</f>
        <v>0</v>
      </c>
    </row>
    <row r="8" spans="1:8" ht="14.25">
      <c r="A8" s="90"/>
      <c r="B8" s="1"/>
      <c r="C8" s="1"/>
      <c r="D8" s="1"/>
      <c r="E8" s="85"/>
      <c r="F8" s="84"/>
      <c r="G8" s="106"/>
      <c r="H8" s="64"/>
    </row>
    <row r="9" spans="1:11" ht="12.75">
      <c r="A9" s="82"/>
      <c r="B9" s="4" t="s">
        <v>3</v>
      </c>
      <c r="C9" s="4"/>
      <c r="D9" s="4"/>
      <c r="E9" s="87">
        <f>E11+E16+E24+E27</f>
        <v>291143.24</v>
      </c>
      <c r="F9" s="88">
        <f>+E9/E$7</f>
        <v>0.10083116838552966</v>
      </c>
      <c r="G9" s="107">
        <f>G11+G16+G24+G27</f>
        <v>280865.57</v>
      </c>
      <c r="H9" s="63">
        <f>+G9/G$7</f>
        <v>0.14751274474124815</v>
      </c>
      <c r="K9" s="89">
        <f>+G9-280865.57</f>
        <v>0</v>
      </c>
    </row>
    <row r="10" spans="1:8" ht="12.75">
      <c r="A10" s="82"/>
      <c r="B10" s="1"/>
      <c r="C10" s="1"/>
      <c r="D10" s="1"/>
      <c r="E10" s="85"/>
      <c r="F10" s="84"/>
      <c r="G10" s="106"/>
      <c r="H10" s="64"/>
    </row>
    <row r="11" spans="1:8" ht="12.75">
      <c r="A11" s="82"/>
      <c r="B11" s="1"/>
      <c r="C11" s="1" t="s">
        <v>4</v>
      </c>
      <c r="D11" s="1"/>
      <c r="E11" s="87">
        <f>E12+E13+E14</f>
        <v>-94914.34999999999</v>
      </c>
      <c r="F11" s="88">
        <f>+E11/E$7</f>
        <v>-0.032871533637714195</v>
      </c>
      <c r="G11" s="107">
        <f>SUM(G12:G14)</f>
        <v>46960.4</v>
      </c>
      <c r="H11" s="64">
        <f>+G11/G$7</f>
        <v>0.024663961119004044</v>
      </c>
    </row>
    <row r="12" spans="1:10" ht="12.75">
      <c r="A12" s="82"/>
      <c r="B12" s="1"/>
      <c r="C12" s="1"/>
      <c r="D12" s="1" t="s">
        <v>104</v>
      </c>
      <c r="E12" s="85">
        <v>8742.8</v>
      </c>
      <c r="F12" s="91">
        <f aca="true" t="shared" si="0" ref="F12:F29">+E12/E$7</f>
        <v>0.003027879812565831</v>
      </c>
      <c r="G12" s="106">
        <v>7385.82</v>
      </c>
      <c r="H12" s="64">
        <f>+G12/G$7</f>
        <v>0.003879089132800454</v>
      </c>
      <c r="J12" s="89">
        <f>+E9-291143.24</f>
        <v>0</v>
      </c>
    </row>
    <row r="13" spans="1:8" ht="12.75">
      <c r="A13" s="82"/>
      <c r="B13" s="1"/>
      <c r="C13" s="1"/>
      <c r="D13" s="1" t="s">
        <v>5</v>
      </c>
      <c r="E13" s="85">
        <f>-106657.15-50</f>
        <v>-106707.15</v>
      </c>
      <c r="F13" s="91">
        <f t="shared" si="0"/>
        <v>-0.03695571502738642</v>
      </c>
      <c r="G13" s="106">
        <f>39574.58-G14</f>
        <v>39524.58</v>
      </c>
      <c r="H13" s="64">
        <f>+G13/G$7</f>
        <v>0.020758611603925115</v>
      </c>
    </row>
    <row r="14" spans="1:8" ht="12.75">
      <c r="A14" s="82"/>
      <c r="B14" s="1"/>
      <c r="C14" s="1"/>
      <c r="D14" s="1" t="s">
        <v>118</v>
      </c>
      <c r="E14" s="85">
        <f>50+3000</f>
        <v>3050</v>
      </c>
      <c r="F14" s="91">
        <f t="shared" si="0"/>
        <v>0.0010563015771063943</v>
      </c>
      <c r="G14" s="106">
        <v>50</v>
      </c>
      <c r="H14" s="64">
        <f>+G14/G$7</f>
        <v>2.626038227847723E-05</v>
      </c>
    </row>
    <row r="15" spans="1:8" ht="12.75">
      <c r="A15" s="82"/>
      <c r="B15" s="1"/>
      <c r="C15" s="1"/>
      <c r="D15" s="1"/>
      <c r="E15" s="85"/>
      <c r="F15" s="91"/>
      <c r="G15" s="106"/>
      <c r="H15" s="64"/>
    </row>
    <row r="16" spans="1:8" ht="12.75">
      <c r="A16" s="82"/>
      <c r="B16" s="1"/>
      <c r="C16" s="1" t="s">
        <v>7</v>
      </c>
      <c r="D16" s="1"/>
      <c r="E16" s="87">
        <f>SUM(E17:E22)</f>
        <v>198818.33</v>
      </c>
      <c r="F16" s="88">
        <f>+E16/E$7</f>
        <v>0.06885643132349493</v>
      </c>
      <c r="G16" s="107">
        <f>SUM(G17:G22)</f>
        <v>226237.16999999998</v>
      </c>
      <c r="H16" s="64">
        <f>+G16/G$7</f>
        <v>0.1188214913960168</v>
      </c>
    </row>
    <row r="17" spans="1:8" ht="12.75">
      <c r="A17" s="82"/>
      <c r="B17" s="1"/>
      <c r="C17" s="1"/>
      <c r="D17" s="1" t="s">
        <v>51</v>
      </c>
      <c r="E17" s="85">
        <v>6679.56</v>
      </c>
      <c r="F17" s="91">
        <f t="shared" si="0"/>
        <v>0.00231332123356616</v>
      </c>
      <c r="G17" s="106">
        <v>0</v>
      </c>
      <c r="H17" s="64">
        <v>0</v>
      </c>
    </row>
    <row r="18" spans="1:8" ht="12.75">
      <c r="A18" s="82"/>
      <c r="B18" s="1"/>
      <c r="C18" s="1"/>
      <c r="D18" s="1" t="s">
        <v>57</v>
      </c>
      <c r="E18" s="85">
        <v>33358.32</v>
      </c>
      <c r="F18" s="91">
        <f t="shared" si="0"/>
        <v>0.011552933123154025</v>
      </c>
      <c r="G18" s="106">
        <v>12707.62</v>
      </c>
      <c r="H18" s="64">
        <v>0</v>
      </c>
    </row>
    <row r="19" spans="1:8" ht="12.75">
      <c r="A19" s="82"/>
      <c r="B19" s="1"/>
      <c r="C19" s="1"/>
      <c r="D19" s="1" t="s">
        <v>95</v>
      </c>
      <c r="E19" s="85"/>
      <c r="F19" s="91"/>
      <c r="G19" s="106">
        <v>0</v>
      </c>
      <c r="H19" s="64">
        <v>0</v>
      </c>
    </row>
    <row r="20" spans="1:8" ht="12.75">
      <c r="A20" s="82"/>
      <c r="B20" s="1"/>
      <c r="C20" s="1"/>
      <c r="D20" s="1" t="s">
        <v>56</v>
      </c>
      <c r="E20" s="85">
        <v>89679.14</v>
      </c>
      <c r="F20" s="91">
        <f t="shared" si="0"/>
        <v>0.031058431808375454</v>
      </c>
      <c r="G20" s="106">
        <v>72471.04</v>
      </c>
      <c r="H20" s="64">
        <v>0</v>
      </c>
    </row>
    <row r="21" spans="1:8" ht="12.75">
      <c r="A21" s="82"/>
      <c r="B21" s="1"/>
      <c r="C21" s="1"/>
      <c r="D21" s="1" t="s">
        <v>58</v>
      </c>
      <c r="E21" s="85">
        <v>0</v>
      </c>
      <c r="F21" s="91">
        <f t="shared" si="0"/>
        <v>0</v>
      </c>
      <c r="G21" s="106">
        <v>1065.7</v>
      </c>
      <c r="H21" s="64">
        <v>0</v>
      </c>
    </row>
    <row r="22" spans="1:8" ht="12.75">
      <c r="A22" s="82"/>
      <c r="B22" s="1"/>
      <c r="C22" s="1"/>
      <c r="D22" s="1" t="s">
        <v>59</v>
      </c>
      <c r="E22" s="85">
        <v>69101.31</v>
      </c>
      <c r="F22" s="91">
        <f t="shared" si="0"/>
        <v>0.023931745158399298</v>
      </c>
      <c r="G22" s="106">
        <v>139992.81</v>
      </c>
      <c r="H22" s="64">
        <v>0</v>
      </c>
    </row>
    <row r="23" spans="1:8" ht="12.75">
      <c r="A23" s="82"/>
      <c r="B23" s="1"/>
      <c r="C23" s="1"/>
      <c r="D23" s="1"/>
      <c r="E23" s="85"/>
      <c r="F23" s="91"/>
      <c r="G23" s="106"/>
      <c r="H23" s="64">
        <v>0</v>
      </c>
    </row>
    <row r="24" spans="1:8" ht="12.75">
      <c r="A24" s="82"/>
      <c r="B24" s="1"/>
      <c r="C24" s="1" t="s">
        <v>60</v>
      </c>
      <c r="D24" s="1"/>
      <c r="E24" s="87">
        <f>E25</f>
        <v>187239.26</v>
      </c>
      <c r="F24" s="88">
        <f>+E24/E$7</f>
        <v>0.06484627069974892</v>
      </c>
      <c r="G24" s="107">
        <f>+G25</f>
        <v>0</v>
      </c>
      <c r="H24" s="64">
        <v>0</v>
      </c>
    </row>
    <row r="25" spans="1:8" ht="12.75">
      <c r="A25" s="82"/>
      <c r="B25" s="1"/>
      <c r="C25" s="1"/>
      <c r="D25" s="1" t="s">
        <v>61</v>
      </c>
      <c r="E25" s="85">
        <v>187239.26</v>
      </c>
      <c r="F25" s="91">
        <f t="shared" si="0"/>
        <v>0.06484627069974892</v>
      </c>
      <c r="G25" s="106">
        <v>0</v>
      </c>
      <c r="H25" s="64">
        <v>0</v>
      </c>
    </row>
    <row r="26" spans="1:8" ht="12.75">
      <c r="A26" s="82"/>
      <c r="B26" s="1"/>
      <c r="C26" s="1"/>
      <c r="D26" s="1"/>
      <c r="E26" s="85"/>
      <c r="F26" s="91"/>
      <c r="G26" s="106">
        <v>0</v>
      </c>
      <c r="H26" s="64">
        <v>0</v>
      </c>
    </row>
    <row r="27" spans="1:8" ht="12.75">
      <c r="A27" s="82"/>
      <c r="B27" s="1"/>
      <c r="C27" s="1" t="s">
        <v>62</v>
      </c>
      <c r="D27" s="1"/>
      <c r="E27" s="87">
        <f>E29</f>
        <v>0</v>
      </c>
      <c r="F27" s="91">
        <f t="shared" si="0"/>
        <v>0</v>
      </c>
      <c r="G27" s="106">
        <f>SUM(G28:G29)</f>
        <v>7668</v>
      </c>
      <c r="H27" s="64">
        <v>0</v>
      </c>
    </row>
    <row r="28" spans="1:8" ht="12.75">
      <c r="A28" s="82"/>
      <c r="B28" s="1"/>
      <c r="C28" s="1"/>
      <c r="D28" s="1" t="s">
        <v>63</v>
      </c>
      <c r="E28" s="85"/>
      <c r="F28" s="91"/>
      <c r="G28" s="106">
        <v>7668</v>
      </c>
      <c r="H28" s="64">
        <v>0</v>
      </c>
    </row>
    <row r="29" spans="1:8" ht="12.75">
      <c r="A29" s="82"/>
      <c r="B29" s="1"/>
      <c r="C29" s="1"/>
      <c r="D29" s="1" t="s">
        <v>64</v>
      </c>
      <c r="E29" s="85">
        <v>0</v>
      </c>
      <c r="F29" s="91">
        <f t="shared" si="0"/>
        <v>0</v>
      </c>
      <c r="G29" s="106"/>
      <c r="H29" s="64">
        <v>0</v>
      </c>
    </row>
    <row r="30" spans="1:8" ht="12.75">
      <c r="A30" s="82"/>
      <c r="B30" s="1"/>
      <c r="C30" s="1"/>
      <c r="D30" s="1"/>
      <c r="E30" s="85"/>
      <c r="F30" s="91"/>
      <c r="G30" s="106"/>
      <c r="H30" s="64"/>
    </row>
    <row r="31" spans="1:8" ht="12.75">
      <c r="A31" s="92"/>
      <c r="B31" s="4" t="s">
        <v>8</v>
      </c>
      <c r="C31" s="4"/>
      <c r="D31" s="4"/>
      <c r="E31" s="87">
        <f>E35+E42+E69</f>
        <v>2596289.73</v>
      </c>
      <c r="F31" s="88">
        <f>+E31/E$7</f>
        <v>0.8991688316144704</v>
      </c>
      <c r="G31" s="107">
        <f>+G35+G42+G69+G33</f>
        <v>1623143.2700000003</v>
      </c>
      <c r="H31" s="63">
        <f>+G31/G$7</f>
        <v>0.8524872552587518</v>
      </c>
    </row>
    <row r="32" spans="1:8" ht="12.75">
      <c r="A32" s="82"/>
      <c r="B32" s="1"/>
      <c r="C32" s="1"/>
      <c r="D32" s="1"/>
      <c r="E32" s="85"/>
      <c r="F32" s="91"/>
      <c r="G32" s="106"/>
      <c r="H32" s="64"/>
    </row>
    <row r="33" spans="1:8" ht="12.75">
      <c r="A33" s="82"/>
      <c r="B33" s="1"/>
      <c r="C33" s="1" t="s">
        <v>64</v>
      </c>
      <c r="D33" s="1"/>
      <c r="E33" s="85"/>
      <c r="F33" s="91"/>
      <c r="G33" s="106">
        <v>246.04</v>
      </c>
      <c r="H33" s="64">
        <v>0</v>
      </c>
    </row>
    <row r="34" spans="1:8" ht="12.75">
      <c r="A34" s="82"/>
      <c r="B34" s="1"/>
      <c r="C34" s="1"/>
      <c r="D34" s="1"/>
      <c r="E34" s="85"/>
      <c r="F34" s="91"/>
      <c r="G34" s="106"/>
      <c r="H34" s="64"/>
    </row>
    <row r="35" spans="1:8" ht="12.75">
      <c r="A35" s="82"/>
      <c r="B35" s="1"/>
      <c r="C35" s="1" t="s">
        <v>9</v>
      </c>
      <c r="D35" s="1"/>
      <c r="E35" s="87">
        <f>E36+E37+E38+E39+E40</f>
        <v>83815.35</v>
      </c>
      <c r="F35" s="88">
        <f aca="true" t="shared" si="1" ref="F35:F40">+E35/E$7</f>
        <v>0.029027634882204733</v>
      </c>
      <c r="G35" s="107">
        <f>SUM(G36:G40)</f>
        <v>39588.31</v>
      </c>
      <c r="H35" s="64">
        <f aca="true" t="shared" si="2" ref="H35:H40">+G35/G$7</f>
        <v>0.020792083087177258</v>
      </c>
    </row>
    <row r="36" spans="1:8" ht="12.75">
      <c r="A36" s="82"/>
      <c r="B36" s="1"/>
      <c r="C36" s="1" t="s">
        <v>10</v>
      </c>
      <c r="D36" s="1" t="s">
        <v>65</v>
      </c>
      <c r="E36" s="85">
        <f>28506.35+400+149.51+532.45</f>
        <v>29588.309999999998</v>
      </c>
      <c r="F36" s="91">
        <f t="shared" si="1"/>
        <v>0.010247271644889474</v>
      </c>
      <c r="G36" s="106">
        <f>28506.35+400+149.51+532.45</f>
        <v>29588.309999999998</v>
      </c>
      <c r="H36" s="64">
        <f t="shared" si="2"/>
        <v>0.015540006631481812</v>
      </c>
    </row>
    <row r="37" spans="1:8" ht="12.75">
      <c r="A37" s="82"/>
      <c r="B37" s="1"/>
      <c r="C37" s="1"/>
      <c r="D37" s="1" t="s">
        <v>96</v>
      </c>
      <c r="E37" s="85">
        <v>10000</v>
      </c>
      <c r="F37" s="91">
        <f t="shared" si="1"/>
        <v>0.0034632838593652276</v>
      </c>
      <c r="G37" s="106">
        <v>10000</v>
      </c>
      <c r="H37" s="64">
        <f t="shared" si="2"/>
        <v>0.005252076455695446</v>
      </c>
    </row>
    <row r="38" spans="1:8" ht="12.75">
      <c r="A38" s="82"/>
      <c r="B38" s="1"/>
      <c r="C38" s="1"/>
      <c r="D38" s="1" t="s">
        <v>97</v>
      </c>
      <c r="E38" s="85">
        <v>42227.04</v>
      </c>
      <c r="F38" s="91">
        <f t="shared" si="1"/>
        <v>0.014624422606076984</v>
      </c>
      <c r="G38" s="106">
        <v>0</v>
      </c>
      <c r="H38" s="64">
        <f t="shared" si="2"/>
        <v>0</v>
      </c>
    </row>
    <row r="39" spans="1:8" ht="12.75">
      <c r="A39" s="82"/>
      <c r="B39" s="1"/>
      <c r="C39" s="1"/>
      <c r="D39" s="1" t="s">
        <v>99</v>
      </c>
      <c r="E39" s="18">
        <v>2000</v>
      </c>
      <c r="F39" s="91">
        <f t="shared" si="1"/>
        <v>0.0006926567718730455</v>
      </c>
      <c r="G39" s="106">
        <v>0</v>
      </c>
      <c r="H39" s="64">
        <f t="shared" si="2"/>
        <v>0</v>
      </c>
    </row>
    <row r="40" spans="1:8" ht="12.75" hidden="1">
      <c r="A40" s="82"/>
      <c r="B40" s="1"/>
      <c r="C40" s="1"/>
      <c r="D40" s="1" t="s">
        <v>105</v>
      </c>
      <c r="E40" s="85">
        <v>0</v>
      </c>
      <c r="F40" s="91">
        <f t="shared" si="1"/>
        <v>0</v>
      </c>
      <c r="G40" s="106">
        <v>0</v>
      </c>
      <c r="H40" s="64">
        <f t="shared" si="2"/>
        <v>0</v>
      </c>
    </row>
    <row r="41" spans="1:8" ht="12.75">
      <c r="A41" s="82"/>
      <c r="B41" s="1"/>
      <c r="C41" s="1"/>
      <c r="D41" s="1"/>
      <c r="E41" s="85"/>
      <c r="F41" s="91"/>
      <c r="G41" s="106"/>
      <c r="H41" s="64"/>
    </row>
    <row r="42" spans="1:11" ht="12.75">
      <c r="A42" s="82"/>
      <c r="B42" s="1"/>
      <c r="C42" s="1" t="s">
        <v>11</v>
      </c>
      <c r="D42" s="1"/>
      <c r="E42" s="87">
        <f>SUM(E43:E67)</f>
        <v>2511917.38</v>
      </c>
      <c r="F42" s="88">
        <f>+E42/E$7</f>
        <v>0.869948291821299</v>
      </c>
      <c r="G42" s="107">
        <f>SUM(G43:G67)</f>
        <v>1582751.9200000002</v>
      </c>
      <c r="H42" s="64">
        <f aca="true" t="shared" si="3" ref="H42:H67">+G42/G$7</f>
        <v>0.8312734094238764</v>
      </c>
      <c r="J42" s="89">
        <f>+E42-2511917.38</f>
        <v>0</v>
      </c>
      <c r="K42" s="89">
        <f>+G42-1582751.92</f>
        <v>0</v>
      </c>
    </row>
    <row r="43" spans="1:8" ht="12.75">
      <c r="A43" s="82"/>
      <c r="B43" s="1"/>
      <c r="C43" s="1"/>
      <c r="D43" s="1" t="s">
        <v>12</v>
      </c>
      <c r="E43" s="93">
        <v>73595.55</v>
      </c>
      <c r="F43" s="91">
        <f>+E43/E$7</f>
        <v>0.02548822804361066</v>
      </c>
      <c r="G43" s="106">
        <v>34820.03</v>
      </c>
      <c r="H43" s="64">
        <f t="shared" si="3"/>
        <v>0.01828774597496091</v>
      </c>
    </row>
    <row r="44" spans="1:8" ht="12.75">
      <c r="A44" s="82"/>
      <c r="B44" s="1"/>
      <c r="C44" s="1"/>
      <c r="D44" s="1" t="s">
        <v>26</v>
      </c>
      <c r="E44" s="93">
        <v>48002.21</v>
      </c>
      <c r="F44" s="91">
        <f aca="true" t="shared" si="4" ref="F44:F66">+E44/E$7</f>
        <v>0.01662452791068601</v>
      </c>
      <c r="G44" s="106">
        <v>17581.19</v>
      </c>
      <c r="H44" s="64">
        <f t="shared" si="3"/>
        <v>0.009233775406210822</v>
      </c>
    </row>
    <row r="45" spans="1:8" ht="12.75">
      <c r="A45" s="82"/>
      <c r="B45" s="1"/>
      <c r="C45" s="1"/>
      <c r="D45" s="1" t="s">
        <v>13</v>
      </c>
      <c r="E45" s="93">
        <f>71240.43+659.23</f>
        <v>71899.65999999999</v>
      </c>
      <c r="F45" s="91">
        <f t="shared" si="4"/>
        <v>0.024900893197184762</v>
      </c>
      <c r="G45" s="106">
        <f>19069.95+16.61+659.23</f>
        <v>19745.79</v>
      </c>
      <c r="H45" s="64">
        <f t="shared" si="3"/>
        <v>0.01037063987581066</v>
      </c>
    </row>
    <row r="46" spans="1:8" ht="12.75">
      <c r="A46" s="82"/>
      <c r="B46" s="1"/>
      <c r="C46" s="1"/>
      <c r="D46" s="1" t="s">
        <v>54</v>
      </c>
      <c r="E46" s="93">
        <v>485.84</v>
      </c>
      <c r="F46" s="91">
        <f t="shared" si="4"/>
        <v>0.0001682601830234002</v>
      </c>
      <c r="G46" s="106">
        <v>485.84</v>
      </c>
      <c r="H46" s="64">
        <f t="shared" si="3"/>
        <v>0.00025516688252350754</v>
      </c>
    </row>
    <row r="47" spans="1:8" ht="12.75">
      <c r="A47" s="82"/>
      <c r="B47" s="1"/>
      <c r="C47" s="1"/>
      <c r="D47" s="1" t="s">
        <v>66</v>
      </c>
      <c r="E47" s="93">
        <v>74303.24</v>
      </c>
      <c r="F47" s="91">
        <f t="shared" si="4"/>
        <v>0.025733321179054077</v>
      </c>
      <c r="G47" s="106">
        <v>69916.1</v>
      </c>
      <c r="H47" s="64">
        <f t="shared" si="3"/>
        <v>0.036720470268404845</v>
      </c>
    </row>
    <row r="48" spans="1:8" ht="12.75">
      <c r="A48" s="82"/>
      <c r="B48" s="1"/>
      <c r="C48" s="1"/>
      <c r="D48" s="1" t="s">
        <v>67</v>
      </c>
      <c r="E48" s="93">
        <v>3206.77</v>
      </c>
      <c r="F48" s="91">
        <f t="shared" si="4"/>
        <v>0.001110595478169663</v>
      </c>
      <c r="G48" s="106">
        <v>3206.77</v>
      </c>
      <c r="H48" s="64">
        <f t="shared" si="3"/>
        <v>0.0016842201215830487</v>
      </c>
    </row>
    <row r="49" spans="1:8" ht="12.75">
      <c r="A49" s="82"/>
      <c r="B49" s="1"/>
      <c r="C49" s="1"/>
      <c r="D49" s="1" t="s">
        <v>68</v>
      </c>
      <c r="E49" s="93">
        <v>204590</v>
      </c>
      <c r="F49" s="91">
        <f t="shared" si="4"/>
        <v>0.07085532447875319</v>
      </c>
      <c r="G49" s="106">
        <v>175289.85</v>
      </c>
      <c r="H49" s="64">
        <f t="shared" si="3"/>
        <v>0.09206356941073865</v>
      </c>
    </row>
    <row r="50" spans="1:8" ht="12.75">
      <c r="A50" s="82"/>
      <c r="B50" s="1"/>
      <c r="C50" s="1"/>
      <c r="D50" s="1" t="s">
        <v>69</v>
      </c>
      <c r="E50" s="93">
        <v>21271.01</v>
      </c>
      <c r="F50" s="91">
        <f t="shared" si="4"/>
        <v>0.007366754560539634</v>
      </c>
      <c r="G50" s="106">
        <v>21271.01</v>
      </c>
      <c r="H50" s="64">
        <f t="shared" si="3"/>
        <v>0.011171697080986238</v>
      </c>
    </row>
    <row r="51" spans="1:8" ht="12.75">
      <c r="A51" s="82"/>
      <c r="B51" s="1"/>
      <c r="C51" s="1"/>
      <c r="D51" s="1" t="s">
        <v>70</v>
      </c>
      <c r="E51" s="93">
        <v>12827.15</v>
      </c>
      <c r="F51" s="91">
        <f t="shared" si="4"/>
        <v>0.004442406155665667</v>
      </c>
      <c r="G51" s="106">
        <v>5649.87</v>
      </c>
      <c r="H51" s="64">
        <f t="shared" si="3"/>
        <v>0.002967354920474003</v>
      </c>
    </row>
    <row r="52" spans="1:8" ht="12.75">
      <c r="A52" s="82"/>
      <c r="B52" s="1"/>
      <c r="C52" s="1"/>
      <c r="D52" s="1" t="s">
        <v>71</v>
      </c>
      <c r="E52" s="93">
        <v>24100</v>
      </c>
      <c r="F52" s="91">
        <f t="shared" si="4"/>
        <v>0.008346514101070198</v>
      </c>
      <c r="G52" s="106">
        <v>24100</v>
      </c>
      <c r="H52" s="64">
        <f t="shared" si="3"/>
        <v>0.012657504258226026</v>
      </c>
    </row>
    <row r="53" spans="1:8" ht="12.75">
      <c r="A53" s="82"/>
      <c r="B53" s="1"/>
      <c r="C53" s="1"/>
      <c r="D53" s="1" t="s">
        <v>72</v>
      </c>
      <c r="E53" s="93">
        <v>12292</v>
      </c>
      <c r="F53" s="91">
        <f t="shared" si="4"/>
        <v>0.0042570685199317376</v>
      </c>
      <c r="G53" s="106">
        <v>12292</v>
      </c>
      <c r="H53" s="64">
        <f t="shared" si="3"/>
        <v>0.006455852379340842</v>
      </c>
    </row>
    <row r="54" spans="1:8" ht="12.75">
      <c r="A54" s="82"/>
      <c r="B54" s="1"/>
      <c r="C54" s="1"/>
      <c r="D54" s="1" t="s">
        <v>73</v>
      </c>
      <c r="E54" s="93">
        <v>6073.37</v>
      </c>
      <c r="F54" s="91">
        <f t="shared" si="4"/>
        <v>0.002103380429295299</v>
      </c>
      <c r="G54" s="106">
        <v>6073.37</v>
      </c>
      <c r="H54" s="64">
        <f t="shared" si="3"/>
        <v>0.0031897803583727053</v>
      </c>
    </row>
    <row r="55" spans="1:8" ht="12.75">
      <c r="A55" s="82"/>
      <c r="B55" s="1"/>
      <c r="C55" s="1"/>
      <c r="D55" s="1" t="s">
        <v>74</v>
      </c>
      <c r="E55" s="93">
        <v>5943</v>
      </c>
      <c r="F55" s="91">
        <f t="shared" si="4"/>
        <v>0.0020582295976207545</v>
      </c>
      <c r="G55" s="106">
        <v>5943</v>
      </c>
      <c r="H55" s="64">
        <f t="shared" si="3"/>
        <v>0.0031213090376198036</v>
      </c>
    </row>
    <row r="56" spans="1:8" ht="12.75">
      <c r="A56" s="82"/>
      <c r="B56" s="1"/>
      <c r="C56" s="1"/>
      <c r="D56" s="1" t="s">
        <v>75</v>
      </c>
      <c r="E56" s="93">
        <v>58173.43</v>
      </c>
      <c r="F56" s="91">
        <f t="shared" si="4"/>
        <v>0.020147110116291292</v>
      </c>
      <c r="G56" s="106">
        <v>58173.43</v>
      </c>
      <c r="H56" s="64">
        <f t="shared" si="3"/>
        <v>0.030553130205004716</v>
      </c>
    </row>
    <row r="57" spans="1:8" ht="12.75">
      <c r="A57" s="82"/>
      <c r="B57" s="1"/>
      <c r="C57" s="1"/>
      <c r="D57" s="1" t="s">
        <v>93</v>
      </c>
      <c r="E57" s="93">
        <v>47840</v>
      </c>
      <c r="F57" s="91">
        <f t="shared" si="4"/>
        <v>0.016568349983203248</v>
      </c>
      <c r="G57" s="106">
        <v>45920.1</v>
      </c>
      <c r="H57" s="64">
        <f t="shared" si="3"/>
        <v>0.024117587605318045</v>
      </c>
    </row>
    <row r="58" spans="1:8" ht="12.75">
      <c r="A58" s="82"/>
      <c r="B58" s="1"/>
      <c r="C58" s="1"/>
      <c r="D58" s="1" t="s">
        <v>76</v>
      </c>
      <c r="E58" s="93">
        <v>171334.27</v>
      </c>
      <c r="F58" s="91">
        <f t="shared" si="4"/>
        <v>0.059337921184712386</v>
      </c>
      <c r="G58" s="106">
        <v>171334.27</v>
      </c>
      <c r="H58" s="64">
        <f t="shared" si="3"/>
        <v>0.08998606855207666</v>
      </c>
    </row>
    <row r="59" spans="1:8" ht="12.75">
      <c r="A59" s="82"/>
      <c r="B59" s="1"/>
      <c r="C59" s="1"/>
      <c r="D59" s="1" t="s">
        <v>77</v>
      </c>
      <c r="E59" s="93">
        <v>583773.54</v>
      </c>
      <c r="F59" s="91">
        <f t="shared" si="4"/>
        <v>0.20217734786065011</v>
      </c>
      <c r="G59" s="106">
        <v>583773.54</v>
      </c>
      <c r="H59" s="64">
        <f t="shared" si="3"/>
        <v>0.3066023264891984</v>
      </c>
    </row>
    <row r="60" spans="1:8" ht="12.75">
      <c r="A60" s="82"/>
      <c r="B60" s="1"/>
      <c r="C60" s="1"/>
      <c r="D60" s="1" t="s">
        <v>78</v>
      </c>
      <c r="E60" s="93">
        <v>90563.82</v>
      </c>
      <c r="F60" s="91">
        <f t="shared" si="4"/>
        <v>0.03136482160484578</v>
      </c>
      <c r="G60" s="106">
        <v>90563.82</v>
      </c>
      <c r="H60" s="64">
        <f t="shared" si="3"/>
        <v>0.047564810675984046</v>
      </c>
    </row>
    <row r="61" spans="1:8" ht="12.75">
      <c r="A61" s="82"/>
      <c r="B61" s="1"/>
      <c r="C61" s="1"/>
      <c r="D61" s="1" t="s">
        <v>79</v>
      </c>
      <c r="E61" s="93">
        <v>123119.33</v>
      </c>
      <c r="F61" s="91">
        <f t="shared" si="4"/>
        <v>0.0426397188364861</v>
      </c>
      <c r="G61" s="106">
        <v>123119.33</v>
      </c>
      <c r="H61" s="64">
        <f t="shared" si="3"/>
        <v>0.0646632134333998</v>
      </c>
    </row>
    <row r="62" spans="1:8" ht="12.75">
      <c r="A62" s="82"/>
      <c r="B62" s="1"/>
      <c r="C62" s="1"/>
      <c r="D62" s="1" t="s">
        <v>80</v>
      </c>
      <c r="E62" s="93">
        <v>108551.44</v>
      </c>
      <c r="F62" s="91">
        <f t="shared" si="4"/>
        <v>0.037594445006285296</v>
      </c>
      <c r="G62" s="106">
        <v>108551.44</v>
      </c>
      <c r="H62" s="64">
        <f t="shared" si="3"/>
        <v>0.057012046225583694</v>
      </c>
    </row>
    <row r="63" spans="1:8" ht="12.75">
      <c r="A63" s="82"/>
      <c r="B63" s="1"/>
      <c r="C63" s="1"/>
      <c r="D63" s="1" t="s">
        <v>81</v>
      </c>
      <c r="E63" s="93">
        <v>4941.17</v>
      </c>
      <c r="F63" s="91">
        <f t="shared" si="4"/>
        <v>0.0017112674307379681</v>
      </c>
      <c r="G63" s="106">
        <v>4941.17</v>
      </c>
      <c r="H63" s="64">
        <f t="shared" si="3"/>
        <v>0.002595140262058867</v>
      </c>
    </row>
    <row r="64" spans="1:8" ht="12.75">
      <c r="A64" s="82"/>
      <c r="B64" s="1"/>
      <c r="C64" s="1"/>
      <c r="D64" s="1" t="s">
        <v>94</v>
      </c>
      <c r="E64" s="93">
        <v>30.61</v>
      </c>
      <c r="F64" s="91">
        <f t="shared" si="4"/>
        <v>1.0601111893516961E-05</v>
      </c>
      <c r="G64" s="106">
        <v>0</v>
      </c>
      <c r="H64" s="64">
        <f t="shared" si="3"/>
        <v>0</v>
      </c>
    </row>
    <row r="65" spans="1:8" ht="12.75">
      <c r="A65" s="82"/>
      <c r="B65" s="1"/>
      <c r="C65" s="1"/>
      <c r="D65" s="1" t="s">
        <v>100</v>
      </c>
      <c r="E65" s="93">
        <v>300000</v>
      </c>
      <c r="F65" s="91">
        <f t="shared" si="4"/>
        <v>0.10389851578095682</v>
      </c>
      <c r="G65" s="106">
        <v>0</v>
      </c>
      <c r="H65" s="64">
        <f t="shared" si="3"/>
        <v>0</v>
      </c>
    </row>
    <row r="66" spans="1:8" ht="12.75">
      <c r="A66" s="82"/>
      <c r="B66" s="1"/>
      <c r="C66" s="1"/>
      <c r="D66" s="1" t="s">
        <v>101</v>
      </c>
      <c r="E66" s="93">
        <v>464999.97</v>
      </c>
      <c r="F66" s="91">
        <f t="shared" si="4"/>
        <v>0.1610426890706315</v>
      </c>
      <c r="G66" s="106">
        <v>0</v>
      </c>
      <c r="H66" s="64">
        <f t="shared" si="3"/>
        <v>0</v>
      </c>
    </row>
    <row r="67" spans="1:8" ht="12.75">
      <c r="A67" s="82"/>
      <c r="B67" s="1"/>
      <c r="C67" s="1"/>
      <c r="D67" s="1" t="s">
        <v>14</v>
      </c>
      <c r="E67" s="85">
        <v>0</v>
      </c>
      <c r="F67" s="91"/>
      <c r="G67" s="106">
        <v>0</v>
      </c>
      <c r="H67" s="64">
        <f t="shared" si="3"/>
        <v>0</v>
      </c>
    </row>
    <row r="68" spans="1:8" ht="12.75">
      <c r="A68" s="82"/>
      <c r="B68" s="1"/>
      <c r="C68" s="1"/>
      <c r="D68" s="1"/>
      <c r="E68" s="85"/>
      <c r="F68" s="91"/>
      <c r="G68" s="106"/>
      <c r="H68" s="64"/>
    </row>
    <row r="69" spans="1:8" ht="12.75">
      <c r="A69" s="82"/>
      <c r="B69" s="1"/>
      <c r="C69" s="1" t="s">
        <v>82</v>
      </c>
      <c r="D69" s="1"/>
      <c r="E69" s="87">
        <f>E70</f>
        <v>557</v>
      </c>
      <c r="F69" s="88">
        <f>+E69/E$7</f>
        <v>0.00019290491096664317</v>
      </c>
      <c r="G69" s="107">
        <f>+G70</f>
        <v>557</v>
      </c>
      <c r="H69" s="64">
        <f>+G69/G$7</f>
        <v>0.00029254065858223637</v>
      </c>
    </row>
    <row r="70" spans="1:8" ht="12.75">
      <c r="A70" s="82"/>
      <c r="B70" s="1"/>
      <c r="C70" s="1"/>
      <c r="D70" s="1" t="s">
        <v>83</v>
      </c>
      <c r="E70" s="93">
        <v>557</v>
      </c>
      <c r="F70" s="91">
        <f>+E70/E$7</f>
        <v>0.00019290491096664317</v>
      </c>
      <c r="G70" s="106">
        <v>557</v>
      </c>
      <c r="H70" s="64">
        <f>+G70/G$7</f>
        <v>0.00029254065858223637</v>
      </c>
    </row>
    <row r="71" spans="1:8" ht="13.5" thickBot="1">
      <c r="A71" s="82"/>
      <c r="B71" s="1"/>
      <c r="C71" s="1"/>
      <c r="D71" s="1"/>
      <c r="E71" s="85"/>
      <c r="F71" s="84"/>
      <c r="G71" s="104"/>
      <c r="H71" s="64"/>
    </row>
    <row r="72" spans="1:8" ht="12.75">
      <c r="A72" s="2"/>
      <c r="B72" s="3"/>
      <c r="C72" s="3"/>
      <c r="D72" s="3"/>
      <c r="E72" s="83"/>
      <c r="F72" s="94"/>
      <c r="G72" s="108"/>
      <c r="H72" s="65"/>
    </row>
    <row r="73" spans="1:8" ht="15">
      <c r="A73" s="86" t="s">
        <v>15</v>
      </c>
      <c r="B73" s="4"/>
      <c r="C73" s="4"/>
      <c r="D73" s="4"/>
      <c r="E73" s="87">
        <f>E75+E87+E92+E103</f>
        <v>3329880.3899999997</v>
      </c>
      <c r="F73" s="88">
        <f>+E73/E$7</f>
        <v>1.1532321008303787</v>
      </c>
      <c r="G73" s="105">
        <f>G75+G87+G92+G103</f>
        <v>1904008.8399999996</v>
      </c>
      <c r="H73" s="63">
        <f>+G73/G$7</f>
        <v>0.9999999999999997</v>
      </c>
    </row>
    <row r="74" spans="1:8" ht="15">
      <c r="A74" s="86"/>
      <c r="B74" s="4"/>
      <c r="C74" s="4"/>
      <c r="D74" s="4"/>
      <c r="E74" s="87"/>
      <c r="F74" s="95"/>
      <c r="G74" s="105"/>
      <c r="H74" s="63"/>
    </row>
    <row r="75" spans="1:8" ht="12.75">
      <c r="A75" s="92"/>
      <c r="B75" s="4" t="s">
        <v>3</v>
      </c>
      <c r="C75" s="4"/>
      <c r="D75" s="4"/>
      <c r="E75" s="87">
        <f>E77</f>
        <v>1020448.3099999999</v>
      </c>
      <c r="F75" s="96">
        <f>+E75/E$7</f>
        <v>0.3534102161339524</v>
      </c>
      <c r="G75" s="105">
        <f>+G77</f>
        <v>207753.45999999996</v>
      </c>
      <c r="H75" s="63">
        <f>+G75/G$7</f>
        <v>0.10911370558552655</v>
      </c>
    </row>
    <row r="76" spans="1:8" ht="12.75">
      <c r="A76" s="82"/>
      <c r="B76" s="1"/>
      <c r="C76" s="1"/>
      <c r="D76" s="1"/>
      <c r="E76" s="85"/>
      <c r="F76" s="97"/>
      <c r="G76" s="104"/>
      <c r="H76" s="64"/>
    </row>
    <row r="77" spans="1:8" ht="12.75">
      <c r="A77" s="82"/>
      <c r="B77" s="1"/>
      <c r="C77" s="1" t="s">
        <v>16</v>
      </c>
      <c r="D77" s="1"/>
      <c r="E77" s="87">
        <f>SUM(E78:E85)</f>
        <v>1020448.3099999999</v>
      </c>
      <c r="F77" s="98">
        <f>+E77/E$7</f>
        <v>0.3534102161339524</v>
      </c>
      <c r="G77" s="104">
        <f>SUM(G78:G85)</f>
        <v>207753.45999999996</v>
      </c>
      <c r="H77" s="64">
        <f aca="true" t="shared" si="5" ref="H77:H85">+G77/G$7</f>
        <v>0.10911370558552655</v>
      </c>
    </row>
    <row r="78" spans="1:8" ht="12.75">
      <c r="A78" s="82"/>
      <c r="B78" s="1"/>
      <c r="C78" s="1"/>
      <c r="D78" s="1" t="s">
        <v>17</v>
      </c>
      <c r="E78" s="85">
        <v>122490.98</v>
      </c>
      <c r="F78" s="98">
        <f>+E78/E$7</f>
        <v>0.04242210339518289</v>
      </c>
      <c r="G78" s="104">
        <v>66975.01</v>
      </c>
      <c r="H78" s="64">
        <f t="shared" si="5"/>
        <v>0.03517578731409671</v>
      </c>
    </row>
    <row r="79" spans="1:8" ht="12.75">
      <c r="A79" s="82"/>
      <c r="B79" s="1"/>
      <c r="C79" s="1"/>
      <c r="D79" s="1" t="s">
        <v>18</v>
      </c>
      <c r="E79" s="85">
        <f>53288.5+923.32+18163.52</f>
        <v>72375.34</v>
      </c>
      <c r="F79" s="98">
        <f>+E79/E$7</f>
        <v>0.02506563468380705</v>
      </c>
      <c r="G79" s="104">
        <f>453.87+46815.3</f>
        <v>47269.170000000006</v>
      </c>
      <c r="H79" s="64">
        <f t="shared" si="5"/>
        <v>0.024826129483726554</v>
      </c>
    </row>
    <row r="80" spans="1:8" ht="12.75">
      <c r="A80" s="82"/>
      <c r="B80" s="1"/>
      <c r="C80" s="1"/>
      <c r="D80" s="1" t="s">
        <v>19</v>
      </c>
      <c r="E80" s="85">
        <f>112210.24+9836.21+410.52+3313.46</f>
        <v>125770.43000000002</v>
      </c>
      <c r="F80" s="98">
        <f aca="true" t="shared" si="6" ref="F80:F85">+E70/E$7</f>
        <v>0.00019290491096664317</v>
      </c>
      <c r="G80" s="104">
        <f>26264.31+11627.06+7613.41+2665.27+320.85+1387.37</f>
        <v>49878.27</v>
      </c>
      <c r="H80" s="64">
        <f t="shared" si="5"/>
        <v>0.02619644875178205</v>
      </c>
    </row>
    <row r="81" spans="1:8" ht="12.75">
      <c r="A81" s="82"/>
      <c r="B81" s="1"/>
      <c r="C81" s="1"/>
      <c r="D81" s="1" t="s">
        <v>20</v>
      </c>
      <c r="E81" s="85">
        <v>0</v>
      </c>
      <c r="F81" s="98">
        <f t="shared" si="6"/>
        <v>0</v>
      </c>
      <c r="G81" s="104">
        <v>9407.96</v>
      </c>
      <c r="H81" s="64">
        <f t="shared" si="5"/>
        <v>0.0049411325212124525</v>
      </c>
    </row>
    <row r="82" spans="1:8" ht="12.75">
      <c r="A82" s="82"/>
      <c r="B82" s="1"/>
      <c r="C82" s="1"/>
      <c r="D82" s="1" t="s">
        <v>108</v>
      </c>
      <c r="E82" s="85">
        <v>550405.13</v>
      </c>
      <c r="F82" s="98">
        <f t="shared" si="6"/>
        <v>0</v>
      </c>
      <c r="G82" s="104">
        <v>21759.85</v>
      </c>
      <c r="H82" s="64">
        <f t="shared" si="5"/>
        <v>0.011428439586446456</v>
      </c>
    </row>
    <row r="83" spans="1:8" ht="12.75">
      <c r="A83" s="82"/>
      <c r="B83" s="1"/>
      <c r="C83" s="1"/>
      <c r="D83" s="1" t="s">
        <v>21</v>
      </c>
      <c r="E83" s="85">
        <v>0</v>
      </c>
      <c r="F83" s="98">
        <f t="shared" si="6"/>
        <v>1.1532321008303787</v>
      </c>
      <c r="G83" s="104">
        <v>9904.93</v>
      </c>
      <c r="H83" s="64">
        <f t="shared" si="5"/>
        <v>0.0052021449648311496</v>
      </c>
    </row>
    <row r="84" spans="1:8" ht="12.75">
      <c r="A84" s="82"/>
      <c r="B84" s="1"/>
      <c r="C84" s="1"/>
      <c r="D84" s="1" t="s">
        <v>87</v>
      </c>
      <c r="E84" s="85">
        <v>59798.59</v>
      </c>
      <c r="F84" s="98">
        <f t="shared" si="6"/>
        <v>0</v>
      </c>
      <c r="G84" s="104">
        <v>0</v>
      </c>
      <c r="H84" s="64">
        <f t="shared" si="5"/>
        <v>0</v>
      </c>
    </row>
    <row r="85" spans="1:8" ht="12.75">
      <c r="A85" s="82"/>
      <c r="B85" s="1"/>
      <c r="C85" s="1"/>
      <c r="D85" s="1" t="s">
        <v>52</v>
      </c>
      <c r="E85" s="85">
        <f>86009.68+639.9+2400.26+558</f>
        <v>89607.83999999998</v>
      </c>
      <c r="F85" s="98">
        <f t="shared" si="6"/>
        <v>0.3534102161339524</v>
      </c>
      <c r="G85" s="104">
        <v>2558.27</v>
      </c>
      <c r="H85" s="64">
        <f t="shared" si="5"/>
        <v>0.001343622963431199</v>
      </c>
    </row>
    <row r="86" spans="1:8" ht="12.75">
      <c r="A86" s="82"/>
      <c r="B86" s="1"/>
      <c r="C86" s="1"/>
      <c r="D86" s="1"/>
      <c r="E86" s="85"/>
      <c r="F86" s="98"/>
      <c r="G86" s="104"/>
      <c r="H86" s="64"/>
    </row>
    <row r="87" spans="1:8" ht="12.75">
      <c r="A87" s="82"/>
      <c r="B87" s="253" t="s">
        <v>88</v>
      </c>
      <c r="C87" s="253"/>
      <c r="D87" s="254"/>
      <c r="E87" s="87">
        <f>E89+E90</f>
        <v>557651.99</v>
      </c>
      <c r="F87" s="98">
        <f>+E77/E$7</f>
        <v>0.3534102161339524</v>
      </c>
      <c r="G87" s="105">
        <f>G89+G90</f>
        <v>0</v>
      </c>
      <c r="H87" s="64">
        <f>+G87/G$7</f>
        <v>0</v>
      </c>
    </row>
    <row r="88" spans="1:8" ht="12.75">
      <c r="A88" s="82"/>
      <c r="B88" s="51"/>
      <c r="C88" s="51"/>
      <c r="D88" s="51"/>
      <c r="E88" s="85"/>
      <c r="F88" s="98"/>
      <c r="G88" s="104"/>
      <c r="H88" s="64"/>
    </row>
    <row r="89" spans="1:8" ht="12.75">
      <c r="A89" s="82"/>
      <c r="B89" s="1"/>
      <c r="C89" s="1"/>
      <c r="D89" s="1" t="s">
        <v>89</v>
      </c>
      <c r="E89" s="85">
        <v>407651.99</v>
      </c>
      <c r="F89" s="98">
        <f>+E79/E$7</f>
        <v>0.02506563468380705</v>
      </c>
      <c r="G89" s="104">
        <v>0</v>
      </c>
      <c r="H89" s="64">
        <f>+G89/G$7</f>
        <v>0</v>
      </c>
    </row>
    <row r="90" spans="1:8" ht="12.75">
      <c r="A90" s="82"/>
      <c r="B90" s="1"/>
      <c r="C90" s="1"/>
      <c r="D90" s="1" t="s">
        <v>106</v>
      </c>
      <c r="E90" s="85">
        <v>150000</v>
      </c>
      <c r="F90" s="98">
        <f>+E90/E$7</f>
        <v>0.05194925789047841</v>
      </c>
      <c r="G90" s="104">
        <v>0</v>
      </c>
      <c r="H90" s="64">
        <f>+G90/G$7</f>
        <v>0</v>
      </c>
    </row>
    <row r="91" spans="1:8" ht="12.75">
      <c r="A91" s="82"/>
      <c r="B91" s="1"/>
      <c r="C91" s="1"/>
      <c r="D91" s="1"/>
      <c r="E91" s="85"/>
      <c r="F91" s="98"/>
      <c r="G91" s="104"/>
      <c r="H91" s="64"/>
    </row>
    <row r="92" spans="1:8" ht="12.75">
      <c r="A92" s="92"/>
      <c r="B92" s="4" t="s">
        <v>22</v>
      </c>
      <c r="C92" s="4"/>
      <c r="D92" s="4"/>
      <c r="E92" s="87">
        <f>E93+E95</f>
        <v>1695006.6199999996</v>
      </c>
      <c r="F92" s="98">
        <f>+E92/E$7</f>
        <v>0.5870289068563208</v>
      </c>
      <c r="G92" s="105">
        <f>G93+G95</f>
        <v>1655879.9499999997</v>
      </c>
      <c r="H92" s="63">
        <f>+G92/G$7</f>
        <v>0.8696808098853152</v>
      </c>
    </row>
    <row r="93" spans="1:8" ht="12.75">
      <c r="A93" s="92"/>
      <c r="B93" s="4"/>
      <c r="C93" s="4"/>
      <c r="D93" s="1" t="s">
        <v>90</v>
      </c>
      <c r="E93" s="85">
        <v>0.17</v>
      </c>
      <c r="F93" s="98">
        <f>+E93/E$7</f>
        <v>5.887582560920887E-08</v>
      </c>
      <c r="G93" s="104">
        <v>0.17</v>
      </c>
      <c r="H93" s="64">
        <f>+G93/G$7</f>
        <v>8.928529974682259E-08</v>
      </c>
    </row>
    <row r="94" spans="1:8" ht="12.75">
      <c r="A94" s="82"/>
      <c r="B94" s="1"/>
      <c r="C94" s="1" t="s">
        <v>23</v>
      </c>
      <c r="D94" s="1"/>
      <c r="E94" s="85"/>
      <c r="F94" s="98"/>
      <c r="G94" s="104"/>
      <c r="H94" s="63"/>
    </row>
    <row r="95" spans="1:8" ht="12.75">
      <c r="A95" s="82"/>
      <c r="B95" s="1"/>
      <c r="C95" s="1"/>
      <c r="D95" s="4" t="s">
        <v>24</v>
      </c>
      <c r="E95" s="87">
        <f>SUM(E96:E101)</f>
        <v>1695006.4499999997</v>
      </c>
      <c r="F95" s="98">
        <f aca="true" t="shared" si="7" ref="F95:F101">+E95/E$7</f>
        <v>0.5870288479804953</v>
      </c>
      <c r="G95" s="105">
        <f>G96+G97+G98+G99+G100</f>
        <v>1655879.7799999998</v>
      </c>
      <c r="H95" s="64">
        <f aca="true" t="shared" si="8" ref="H95:H100">+G95/G$7</f>
        <v>0.8696807206000154</v>
      </c>
    </row>
    <row r="96" spans="1:8" ht="12.75">
      <c r="A96" s="82"/>
      <c r="B96" s="1"/>
      <c r="C96" s="1"/>
      <c r="D96" s="1" t="s">
        <v>102</v>
      </c>
      <c r="E96" s="85">
        <v>-40684.77</v>
      </c>
      <c r="F96" s="98">
        <f t="shared" si="7"/>
        <v>-0.014090290726298662</v>
      </c>
      <c r="G96" s="104">
        <v>-40684.77</v>
      </c>
      <c r="H96" s="64">
        <f t="shared" si="8"/>
        <v>-0.021367952262238442</v>
      </c>
    </row>
    <row r="97" spans="1:8" ht="12.75">
      <c r="A97" s="82"/>
      <c r="B97" s="1"/>
      <c r="C97" s="1"/>
      <c r="D97" s="1" t="s">
        <v>91</v>
      </c>
      <c r="E97" s="85">
        <v>1383526.94</v>
      </c>
      <c r="F97" s="98">
        <f t="shared" si="7"/>
        <v>0.4791546520298963</v>
      </c>
      <c r="G97" s="104">
        <v>1383526.94</v>
      </c>
      <c r="H97" s="64">
        <f t="shared" si="8"/>
        <v>0.7266389267394366</v>
      </c>
    </row>
    <row r="98" spans="1:8" ht="12.75">
      <c r="A98" s="82"/>
      <c r="B98" s="1"/>
      <c r="C98" s="1"/>
      <c r="D98" s="1" t="s">
        <v>92</v>
      </c>
      <c r="E98" s="85">
        <v>229453.17</v>
      </c>
      <c r="F98" s="98">
        <f t="shared" si="7"/>
        <v>0.07946614601411857</v>
      </c>
      <c r="G98" s="104">
        <f>2265219.11-1952181.5</f>
        <v>313037.60999999987</v>
      </c>
      <c r="H98" s="64">
        <f t="shared" si="8"/>
        <v>0.16440974612281728</v>
      </c>
    </row>
    <row r="99" spans="1:8" ht="12.75">
      <c r="A99" s="82"/>
      <c r="B99" s="1"/>
      <c r="C99" s="1"/>
      <c r="D99" s="1" t="s">
        <v>98</v>
      </c>
      <c r="E99" s="85">
        <v>473611.52</v>
      </c>
      <c r="F99" s="98">
        <f t="shared" si="7"/>
        <v>0.16402511328254316</v>
      </c>
      <c r="G99" s="104">
        <v>0</v>
      </c>
      <c r="H99" s="64">
        <f t="shared" si="8"/>
        <v>0</v>
      </c>
    </row>
    <row r="100" spans="1:8" ht="12.75">
      <c r="A100" s="82"/>
      <c r="B100" s="1"/>
      <c r="C100" s="1"/>
      <c r="D100" s="1" t="s">
        <v>103</v>
      </c>
      <c r="E100" s="85">
        <v>111339.04</v>
      </c>
      <c r="F100" s="98">
        <f t="shared" si="7"/>
        <v>0.03855987001492194</v>
      </c>
      <c r="G100" s="104">
        <v>0</v>
      </c>
      <c r="H100" s="64">
        <f t="shared" si="8"/>
        <v>0</v>
      </c>
    </row>
    <row r="101" spans="1:8" ht="12.75">
      <c r="A101" s="82"/>
      <c r="B101" s="1"/>
      <c r="C101" s="1"/>
      <c r="D101" s="1" t="s">
        <v>109</v>
      </c>
      <c r="E101" s="85">
        <f>4961531.43-5423770.88</f>
        <v>-462239.4500000002</v>
      </c>
      <c r="F101" s="98">
        <f t="shared" si="7"/>
        <v>-0.16008664263468608</v>
      </c>
      <c r="G101" s="104"/>
      <c r="H101" s="64"/>
    </row>
    <row r="102" spans="1:8" ht="12.75">
      <c r="A102" s="82"/>
      <c r="B102" s="1"/>
      <c r="C102" s="1"/>
      <c r="D102" s="1"/>
      <c r="E102" s="85"/>
      <c r="F102" s="98"/>
      <c r="G102" s="104"/>
      <c r="H102" s="64"/>
    </row>
    <row r="103" spans="1:8" ht="12.75">
      <c r="A103" s="82"/>
      <c r="B103" s="1"/>
      <c r="C103" s="1"/>
      <c r="D103" s="1" t="s">
        <v>107</v>
      </c>
      <c r="E103" s="85">
        <v>56773.47</v>
      </c>
      <c r="F103" s="98">
        <f>+E103/E$7</f>
        <v>0.019662264229115597</v>
      </c>
      <c r="G103" s="104">
        <v>40375.43</v>
      </c>
      <c r="H103" s="64">
        <f>+G103/G$7</f>
        <v>0.02120548452915796</v>
      </c>
    </row>
    <row r="104" spans="1:8" ht="13.5" thickBot="1">
      <c r="A104" s="99"/>
      <c r="B104" s="100"/>
      <c r="C104" s="100"/>
      <c r="D104" s="100"/>
      <c r="E104" s="101"/>
      <c r="F104" s="102"/>
      <c r="G104" s="109"/>
      <c r="H104" s="66"/>
    </row>
    <row r="107" ht="12.75">
      <c r="G107" s="103">
        <f>+G73-G7</f>
        <v>0</v>
      </c>
    </row>
  </sheetData>
  <sheetProtection/>
  <mergeCells count="1">
    <mergeCell ref="B87:D87"/>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E28"/>
  <sheetViews>
    <sheetView zoomScalePageLayoutView="0" workbookViewId="0" topLeftCell="A1">
      <selection activeCell="C23" sqref="C23"/>
    </sheetView>
  </sheetViews>
  <sheetFormatPr defaultColWidth="9.140625" defaultRowHeight="12.75"/>
  <cols>
    <col min="1" max="1" width="10.140625" style="0" bestFit="1" customWidth="1"/>
    <col min="3" max="3" width="76.00390625" style="0" bestFit="1" customWidth="1"/>
    <col min="4" max="4" width="14.28125" style="0" bestFit="1" customWidth="1"/>
    <col min="5" max="5" width="56.421875" style="0" bestFit="1" customWidth="1"/>
  </cols>
  <sheetData>
    <row r="1" ht="15.75">
      <c r="A1" s="142" t="s">
        <v>202</v>
      </c>
    </row>
    <row r="3" spans="1:5" ht="15.75">
      <c r="A3" s="255" t="s">
        <v>200</v>
      </c>
      <c r="B3" s="255"/>
      <c r="C3" s="255"/>
      <c r="D3" s="255"/>
      <c r="E3" s="255"/>
    </row>
    <row r="5" spans="1:5" ht="12.75">
      <c r="A5" s="140" t="s">
        <v>173</v>
      </c>
      <c r="B5" s="140" t="s">
        <v>174</v>
      </c>
      <c r="C5" s="140" t="s">
        <v>175</v>
      </c>
      <c r="D5" s="140" t="s">
        <v>176</v>
      </c>
      <c r="E5" s="140" t="s">
        <v>177</v>
      </c>
    </row>
    <row r="6" spans="1:5" ht="15" customHeight="1">
      <c r="A6" s="137">
        <v>42473</v>
      </c>
      <c r="B6" s="131">
        <v>38569</v>
      </c>
      <c r="C6" s="138" t="s">
        <v>178</v>
      </c>
      <c r="D6" s="139">
        <v>1190</v>
      </c>
      <c r="E6" s="138" t="s">
        <v>182</v>
      </c>
    </row>
    <row r="7" spans="1:5" ht="15" customHeight="1">
      <c r="A7" s="137">
        <v>42478</v>
      </c>
      <c r="B7" s="131">
        <v>211</v>
      </c>
      <c r="C7" s="138" t="s">
        <v>179</v>
      </c>
      <c r="D7" s="139">
        <v>132000</v>
      </c>
      <c r="E7" s="138" t="s">
        <v>183</v>
      </c>
    </row>
    <row r="8" spans="1:5" ht="15" customHeight="1">
      <c r="A8" s="137">
        <v>42478</v>
      </c>
      <c r="B8" s="131">
        <v>211</v>
      </c>
      <c r="C8" s="138" t="s">
        <v>179</v>
      </c>
      <c r="D8" s="139">
        <v>21504</v>
      </c>
      <c r="E8" s="138" t="s">
        <v>184</v>
      </c>
    </row>
    <row r="9" spans="1:5" ht="15" customHeight="1">
      <c r="A9" s="137">
        <v>42478</v>
      </c>
      <c r="B9" s="131">
        <v>211</v>
      </c>
      <c r="C9" s="138" t="s">
        <v>179</v>
      </c>
      <c r="D9" s="139">
        <v>17068</v>
      </c>
      <c r="E9" s="138" t="s">
        <v>185</v>
      </c>
    </row>
    <row r="10" spans="1:5" ht="15" customHeight="1">
      <c r="A10" s="137">
        <v>42478</v>
      </c>
      <c r="B10" s="131">
        <v>211</v>
      </c>
      <c r="C10" s="138" t="s">
        <v>179</v>
      </c>
      <c r="D10" s="139">
        <v>6192</v>
      </c>
      <c r="E10" s="138" t="s">
        <v>186</v>
      </c>
    </row>
    <row r="11" spans="1:5" ht="15" customHeight="1">
      <c r="A11" s="137">
        <v>42478</v>
      </c>
      <c r="B11" s="131">
        <v>211</v>
      </c>
      <c r="C11" s="138" t="s">
        <v>179</v>
      </c>
      <c r="D11" s="139">
        <v>99952</v>
      </c>
      <c r="E11" s="138" t="s">
        <v>187</v>
      </c>
    </row>
    <row r="12" spans="1:5" ht="15" customHeight="1">
      <c r="A12" s="137">
        <v>42478</v>
      </c>
      <c r="B12" s="131">
        <v>211</v>
      </c>
      <c r="C12" s="138" t="s">
        <v>179</v>
      </c>
      <c r="D12" s="139">
        <v>36000</v>
      </c>
      <c r="E12" s="138" t="s">
        <v>188</v>
      </c>
    </row>
    <row r="13" spans="1:5" ht="15" customHeight="1">
      <c r="A13" s="137">
        <v>42478</v>
      </c>
      <c r="B13" s="131">
        <v>211</v>
      </c>
      <c r="C13" s="138" t="s">
        <v>179</v>
      </c>
      <c r="D13" s="139">
        <v>14336.64</v>
      </c>
      <c r="E13" s="138" t="s">
        <v>189</v>
      </c>
    </row>
    <row r="14" spans="1:5" ht="15" customHeight="1">
      <c r="A14" s="137">
        <v>42478</v>
      </c>
      <c r="B14" s="131">
        <v>211</v>
      </c>
      <c r="C14" s="138" t="s">
        <v>179</v>
      </c>
      <c r="D14" s="139">
        <v>24500</v>
      </c>
      <c r="E14" s="138" t="s">
        <v>190</v>
      </c>
    </row>
    <row r="15" spans="1:5" ht="15" customHeight="1">
      <c r="A15" s="137">
        <v>42478</v>
      </c>
      <c r="B15" s="131">
        <v>211</v>
      </c>
      <c r="C15" s="138" t="s">
        <v>179</v>
      </c>
      <c r="D15" s="139">
        <v>25400</v>
      </c>
      <c r="E15" s="138" t="s">
        <v>191</v>
      </c>
    </row>
    <row r="16" spans="1:5" ht="15" customHeight="1">
      <c r="A16" s="137">
        <v>42478</v>
      </c>
      <c r="B16" s="131">
        <v>211</v>
      </c>
      <c r="C16" s="138" t="s">
        <v>179</v>
      </c>
      <c r="D16" s="139">
        <v>17900</v>
      </c>
      <c r="E16" s="138" t="s">
        <v>192</v>
      </c>
    </row>
    <row r="17" spans="1:5" ht="15" customHeight="1">
      <c r="A17" s="137">
        <v>42478</v>
      </c>
      <c r="B17" s="131">
        <v>211</v>
      </c>
      <c r="C17" s="138" t="s">
        <v>179</v>
      </c>
      <c r="D17" s="139">
        <v>21197.36</v>
      </c>
      <c r="E17" s="138" t="s">
        <v>193</v>
      </c>
    </row>
    <row r="18" spans="1:5" ht="15" customHeight="1">
      <c r="A18" s="137">
        <v>42478</v>
      </c>
      <c r="B18" s="131">
        <v>211</v>
      </c>
      <c r="C18" s="138" t="s">
        <v>179</v>
      </c>
      <c r="D18" s="139">
        <v>19250</v>
      </c>
      <c r="E18" s="138" t="s">
        <v>194</v>
      </c>
    </row>
    <row r="19" spans="1:5" ht="15" customHeight="1">
      <c r="A19" s="137">
        <v>42478</v>
      </c>
      <c r="B19" s="131">
        <v>211</v>
      </c>
      <c r="C19" s="138" t="s">
        <v>179</v>
      </c>
      <c r="D19" s="139">
        <v>16500</v>
      </c>
      <c r="E19" s="138" t="s">
        <v>195</v>
      </c>
    </row>
    <row r="20" spans="1:5" ht="15" customHeight="1">
      <c r="A20" s="137">
        <v>42478</v>
      </c>
      <c r="B20" s="131">
        <v>223</v>
      </c>
      <c r="C20" s="138" t="s">
        <v>179</v>
      </c>
      <c r="D20" s="139">
        <v>13200</v>
      </c>
      <c r="E20" s="138" t="s">
        <v>201</v>
      </c>
    </row>
    <row r="21" spans="1:5" ht="15" customHeight="1">
      <c r="A21" s="137">
        <v>42479</v>
      </c>
      <c r="B21" s="131">
        <v>2394</v>
      </c>
      <c r="C21" s="138" t="s">
        <v>180</v>
      </c>
      <c r="D21" s="139">
        <v>2100</v>
      </c>
      <c r="E21" s="138" t="s">
        <v>196</v>
      </c>
    </row>
    <row r="22" spans="1:5" ht="15" customHeight="1">
      <c r="A22" s="137">
        <v>42493</v>
      </c>
      <c r="B22" s="131"/>
      <c r="C22" s="138" t="s">
        <v>180</v>
      </c>
      <c r="D22" s="139">
        <v>2100</v>
      </c>
      <c r="E22" s="138" t="s">
        <v>196</v>
      </c>
    </row>
    <row r="23" spans="1:5" ht="15" customHeight="1">
      <c r="A23" s="137">
        <v>42493</v>
      </c>
      <c r="B23" s="131">
        <v>2426</v>
      </c>
      <c r="C23" s="138" t="s">
        <v>180</v>
      </c>
      <c r="D23" s="139">
        <v>-2100</v>
      </c>
      <c r="E23" s="141" t="s">
        <v>197</v>
      </c>
    </row>
    <row r="24" spans="1:5" ht="15" customHeight="1">
      <c r="A24" s="137">
        <v>42494</v>
      </c>
      <c r="B24" s="131">
        <v>57573</v>
      </c>
      <c r="C24" s="138" t="s">
        <v>181</v>
      </c>
      <c r="D24" s="139">
        <v>2399</v>
      </c>
      <c r="E24" s="138" t="s">
        <v>198</v>
      </c>
    </row>
    <row r="25" spans="1:5" ht="15" customHeight="1">
      <c r="A25" s="137">
        <v>42494</v>
      </c>
      <c r="B25" s="131">
        <v>57572</v>
      </c>
      <c r="C25" s="138" t="s">
        <v>181</v>
      </c>
      <c r="D25" s="139">
        <v>10890</v>
      </c>
      <c r="E25" s="138" t="s">
        <v>199</v>
      </c>
    </row>
    <row r="26" spans="1:5" ht="15" customHeight="1">
      <c r="A26" s="137">
        <v>42496</v>
      </c>
      <c r="B26" s="131">
        <v>2443</v>
      </c>
      <c r="C26" s="138" t="s">
        <v>180</v>
      </c>
      <c r="D26" s="139">
        <v>2100</v>
      </c>
      <c r="E26" s="138" t="s">
        <v>196</v>
      </c>
    </row>
    <row r="28" ht="12.75">
      <c r="D28" s="143">
        <f>SUM(D6:D26)</f>
        <v>483679</v>
      </c>
    </row>
  </sheetData>
  <sheetProtection/>
  <mergeCells count="1">
    <mergeCell ref="A3:E3"/>
  </mergeCells>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AG118"/>
  <sheetViews>
    <sheetView zoomScalePageLayoutView="0" workbookViewId="0" topLeftCell="A1">
      <selection activeCell="O116" sqref="O116"/>
    </sheetView>
  </sheetViews>
  <sheetFormatPr defaultColWidth="9.140625" defaultRowHeight="12.75"/>
  <cols>
    <col min="1" max="1" width="2.140625" style="5" customWidth="1"/>
    <col min="2" max="2" width="1.28515625" style="5" customWidth="1"/>
    <col min="3" max="3" width="2.140625" style="5" customWidth="1"/>
    <col min="4" max="4" width="36.00390625" style="5" customWidth="1"/>
    <col min="5" max="5" width="13.57421875" style="5" hidden="1" customWidth="1"/>
    <col min="6" max="6" width="12.00390625" style="5" hidden="1" customWidth="1"/>
    <col min="7" max="7" width="13.57421875" style="5" hidden="1" customWidth="1"/>
    <col min="8" max="8" width="12.00390625" style="5" hidden="1" customWidth="1"/>
    <col min="9" max="9" width="13.57421875" style="5" hidden="1" customWidth="1"/>
    <col min="10" max="10" width="12.00390625" style="5" hidden="1" customWidth="1"/>
    <col min="11" max="11" width="13.57421875" style="5" hidden="1" customWidth="1"/>
    <col min="12" max="12" width="12.00390625" style="5" hidden="1" customWidth="1"/>
    <col min="13" max="13" width="13.57421875" style="5" customWidth="1"/>
    <col min="14" max="14" width="12.00390625" style="5" customWidth="1"/>
    <col min="15" max="15" width="13.57421875" style="5" customWidth="1"/>
    <col min="16" max="16" width="12.00390625" style="5" customWidth="1"/>
    <col min="17" max="17" width="13.57421875" style="5" customWidth="1"/>
    <col min="18" max="18" width="9.7109375" style="5" customWidth="1"/>
    <col min="19" max="19" width="13.57421875" style="5" customWidth="1"/>
    <col min="20" max="20" width="12.00390625" style="5" customWidth="1"/>
    <col min="21" max="21" width="13.57421875" style="5" customWidth="1"/>
    <col min="22" max="22" width="11.28125" style="5" customWidth="1"/>
    <col min="23" max="23" width="13.57421875" style="5" customWidth="1"/>
    <col min="24" max="24" width="12.00390625" style="5" customWidth="1"/>
    <col min="25" max="25" width="13.57421875" style="5" customWidth="1"/>
    <col min="26" max="26" width="12.00390625" style="5" customWidth="1"/>
    <col min="27" max="27" width="13.57421875" style="52" customWidth="1"/>
    <col min="28" max="28" width="12.00390625" style="52" customWidth="1"/>
    <col min="29" max="29" width="5.7109375" style="5" customWidth="1"/>
    <col min="30" max="33" width="10.28125" style="5" bestFit="1" customWidth="1"/>
    <col min="34" max="16384" width="9.140625" style="5" customWidth="1"/>
  </cols>
  <sheetData>
    <row r="1" spans="1:28" ht="12.75">
      <c r="A1" s="115" t="s">
        <v>55</v>
      </c>
      <c r="B1" s="116"/>
      <c r="C1" s="116"/>
      <c r="D1" s="116"/>
      <c r="E1" s="116"/>
      <c r="F1" s="116"/>
      <c r="G1" s="116"/>
      <c r="H1" s="116"/>
      <c r="I1" s="116"/>
      <c r="J1" s="116"/>
      <c r="K1" s="116"/>
      <c r="L1" s="116"/>
      <c r="M1" s="116"/>
      <c r="N1" s="116"/>
      <c r="O1" s="116"/>
      <c r="P1" s="116"/>
      <c r="Q1" s="116"/>
      <c r="R1" s="116"/>
      <c r="S1" s="116"/>
      <c r="T1" s="116"/>
      <c r="U1" s="116"/>
      <c r="V1" s="116"/>
      <c r="W1" s="181"/>
      <c r="X1" s="181"/>
      <c r="Y1" s="181"/>
      <c r="Z1" s="181"/>
      <c r="AA1" s="181"/>
      <c r="AB1" s="193"/>
    </row>
    <row r="2" spans="1:28" ht="12.75">
      <c r="A2" s="128" t="s">
        <v>289</v>
      </c>
      <c r="B2" s="114"/>
      <c r="C2" s="114"/>
      <c r="D2" s="114"/>
      <c r="E2" s="114"/>
      <c r="F2" s="114"/>
      <c r="G2" s="114"/>
      <c r="H2" s="114"/>
      <c r="I2" s="114"/>
      <c r="J2" s="114"/>
      <c r="K2" s="114"/>
      <c r="L2" s="114"/>
      <c r="M2" s="114"/>
      <c r="N2" s="114"/>
      <c r="O2" s="114"/>
      <c r="P2" s="114"/>
      <c r="Q2" s="114"/>
      <c r="R2" s="114"/>
      <c r="S2" s="114"/>
      <c r="T2" s="114"/>
      <c r="U2" s="114"/>
      <c r="V2" s="114"/>
      <c r="W2" s="153"/>
      <c r="X2" s="153"/>
      <c r="Y2" s="153"/>
      <c r="Z2" s="153"/>
      <c r="AA2" s="153"/>
      <c r="AB2" s="194"/>
    </row>
    <row r="3" spans="1:28" ht="12.75">
      <c r="A3" s="117" t="s">
        <v>27</v>
      </c>
      <c r="B3" s="118"/>
      <c r="C3" s="118"/>
      <c r="D3" s="118"/>
      <c r="E3" s="118"/>
      <c r="F3" s="118"/>
      <c r="G3" s="118"/>
      <c r="H3" s="118"/>
      <c r="I3" s="118"/>
      <c r="J3" s="118"/>
      <c r="K3" s="118"/>
      <c r="L3" s="118"/>
      <c r="M3" s="118"/>
      <c r="N3" s="118"/>
      <c r="O3" s="118"/>
      <c r="P3" s="118"/>
      <c r="Q3" s="118"/>
      <c r="R3" s="118"/>
      <c r="S3" s="118"/>
      <c r="T3" s="118"/>
      <c r="U3" s="118"/>
      <c r="V3" s="118"/>
      <c r="W3" s="124"/>
      <c r="X3" s="124"/>
      <c r="Y3" s="124"/>
      <c r="Z3" s="124"/>
      <c r="AA3" s="124"/>
      <c r="AB3" s="195"/>
    </row>
    <row r="4" spans="1:28" ht="12.75">
      <c r="A4" s="117" t="s">
        <v>0</v>
      </c>
      <c r="B4" s="144"/>
      <c r="C4" s="144"/>
      <c r="D4" s="145"/>
      <c r="E4" s="198">
        <v>43829</v>
      </c>
      <c r="F4" s="199" t="s">
        <v>136</v>
      </c>
      <c r="G4" s="198">
        <v>43799</v>
      </c>
      <c r="H4" s="199" t="s">
        <v>136</v>
      </c>
      <c r="I4" s="198">
        <v>43768</v>
      </c>
      <c r="J4" s="199" t="s">
        <v>136</v>
      </c>
      <c r="K4" s="198">
        <v>43738</v>
      </c>
      <c r="L4" s="199" t="s">
        <v>136</v>
      </c>
      <c r="M4" s="198">
        <v>43708</v>
      </c>
      <c r="N4" s="199" t="s">
        <v>136</v>
      </c>
      <c r="O4" s="198">
        <v>43647</v>
      </c>
      <c r="P4" s="199" t="s">
        <v>136</v>
      </c>
      <c r="Q4" s="198">
        <v>43617</v>
      </c>
      <c r="R4" s="199" t="s">
        <v>136</v>
      </c>
      <c r="S4" s="198">
        <v>43586</v>
      </c>
      <c r="T4" s="199" t="s">
        <v>136</v>
      </c>
      <c r="U4" s="198">
        <v>43556</v>
      </c>
      <c r="V4" s="199" t="s">
        <v>136</v>
      </c>
      <c r="W4" s="198">
        <v>43525</v>
      </c>
      <c r="X4" s="199" t="s">
        <v>136</v>
      </c>
      <c r="Y4" s="198">
        <v>43497</v>
      </c>
      <c r="Z4" s="199" t="s">
        <v>136</v>
      </c>
      <c r="AA4" s="198">
        <v>43466</v>
      </c>
      <c r="AB4" s="197" t="s">
        <v>136</v>
      </c>
    </row>
    <row r="5" spans="1:28" ht="12.75">
      <c r="A5" s="54"/>
      <c r="B5" s="1"/>
      <c r="C5" s="1"/>
      <c r="D5" s="55"/>
      <c r="E5" s="69"/>
      <c r="F5" s="182"/>
      <c r="G5" s="69"/>
      <c r="H5" s="182"/>
      <c r="I5" s="69"/>
      <c r="J5" s="182"/>
      <c r="K5" s="69"/>
      <c r="L5" s="182"/>
      <c r="M5" s="69"/>
      <c r="N5" s="182"/>
      <c r="O5" s="69"/>
      <c r="P5" s="182"/>
      <c r="Q5" s="69"/>
      <c r="R5" s="182"/>
      <c r="S5" s="69"/>
      <c r="T5" s="182"/>
      <c r="U5" s="69"/>
      <c r="V5" s="182"/>
      <c r="W5" s="69"/>
      <c r="X5" s="182"/>
      <c r="Y5" s="69"/>
      <c r="Z5" s="182"/>
      <c r="AA5" s="69"/>
      <c r="AB5" s="182"/>
    </row>
    <row r="6" spans="1:32" ht="15">
      <c r="A6" s="56" t="s">
        <v>2</v>
      </c>
      <c r="B6" s="4"/>
      <c r="C6" s="4"/>
      <c r="D6" s="57"/>
      <c r="E6" s="70">
        <f>E8+E35</f>
        <v>0</v>
      </c>
      <c r="F6" s="147" t="e">
        <f>+E6/E$6</f>
        <v>#DIV/0!</v>
      </c>
      <c r="G6" s="70">
        <f>G8+G35</f>
        <v>0</v>
      </c>
      <c r="H6" s="147" t="e">
        <f>+G6/G$6</f>
        <v>#DIV/0!</v>
      </c>
      <c r="I6" s="70">
        <f>I8+I35</f>
        <v>0</v>
      </c>
      <c r="J6" s="147" t="e">
        <f>+I6/I$6</f>
        <v>#DIV/0!</v>
      </c>
      <c r="K6" s="70">
        <f>K8+K35</f>
        <v>0</v>
      </c>
      <c r="L6" s="147" t="e">
        <f>+K6/K$6</f>
        <v>#DIV/0!</v>
      </c>
      <c r="M6" s="70">
        <f>M8+M35</f>
        <v>8928244.94</v>
      </c>
      <c r="N6" s="147">
        <f>+M6/M$6</f>
        <v>1</v>
      </c>
      <c r="O6" s="70">
        <f>O8+O35</f>
        <v>8836206.57</v>
      </c>
      <c r="P6" s="147">
        <f>+O6/O$6</f>
        <v>1</v>
      </c>
      <c r="Q6" s="70">
        <f>Q8+Q35</f>
        <v>8896765.35</v>
      </c>
      <c r="R6" s="147">
        <f>+Q6/Q$6</f>
        <v>1</v>
      </c>
      <c r="S6" s="70">
        <f>S8+S35</f>
        <v>8852113.53</v>
      </c>
      <c r="T6" s="147">
        <f>+S6/S$6</f>
        <v>1</v>
      </c>
      <c r="U6" s="70">
        <f>U8+U35</f>
        <v>8891313.91</v>
      </c>
      <c r="V6" s="147">
        <f>+U6/U$6</f>
        <v>1</v>
      </c>
      <c r="W6" s="70">
        <f>W8+W35</f>
        <v>8911930.71</v>
      </c>
      <c r="X6" s="147">
        <f>+W6/W$6</f>
        <v>1</v>
      </c>
      <c r="Y6" s="70">
        <f>Y8+Y35</f>
        <v>8888127.96</v>
      </c>
      <c r="Z6" s="147">
        <f>+Y6/Y$6</f>
        <v>1</v>
      </c>
      <c r="AA6" s="70">
        <f>AA8+AA35</f>
        <v>9299083.299999999</v>
      </c>
      <c r="AB6" s="147">
        <f>+AA6/AA$6</f>
        <v>1</v>
      </c>
      <c r="AF6" s="206"/>
    </row>
    <row r="7" spans="1:28" ht="14.25">
      <c r="A7" s="58"/>
      <c r="B7" s="1"/>
      <c r="C7" s="1"/>
      <c r="D7" s="55"/>
      <c r="E7" s="69"/>
      <c r="F7" s="182"/>
      <c r="G7" s="69"/>
      <c r="H7" s="182"/>
      <c r="I7" s="69"/>
      <c r="J7" s="182"/>
      <c r="K7" s="69"/>
      <c r="L7" s="182"/>
      <c r="M7" s="69"/>
      <c r="N7" s="182"/>
      <c r="O7" s="69"/>
      <c r="P7" s="182"/>
      <c r="Q7" s="69"/>
      <c r="R7" s="182"/>
      <c r="S7" s="69"/>
      <c r="T7" s="182"/>
      <c r="U7" s="69"/>
      <c r="V7" s="182"/>
      <c r="W7" s="69"/>
      <c r="X7" s="182"/>
      <c r="Y7" s="69"/>
      <c r="Z7" s="182"/>
      <c r="AA7" s="69"/>
      <c r="AB7" s="182"/>
    </row>
    <row r="8" spans="1:33" ht="12.75">
      <c r="A8" s="54"/>
      <c r="B8" s="4" t="s">
        <v>3</v>
      </c>
      <c r="C8" s="4"/>
      <c r="D8" s="57"/>
      <c r="E8" s="70">
        <f>E10+E15+E28+E32</f>
        <v>0</v>
      </c>
      <c r="F8" s="147" t="e">
        <f>+E8/E$6</f>
        <v>#DIV/0!</v>
      </c>
      <c r="G8" s="70">
        <f>G10+G15+G28+G32</f>
        <v>0</v>
      </c>
      <c r="H8" s="147" t="e">
        <f>+G8/G$6</f>
        <v>#DIV/0!</v>
      </c>
      <c r="I8" s="70">
        <f>I10+I15+I28+I32</f>
        <v>0</v>
      </c>
      <c r="J8" s="147" t="e">
        <f>+I8/I$6</f>
        <v>#DIV/0!</v>
      </c>
      <c r="K8" s="70">
        <f>K10+K15+K28+K32</f>
        <v>0</v>
      </c>
      <c r="L8" s="147" t="e">
        <f>+K8/K$6</f>
        <v>#DIV/0!</v>
      </c>
      <c r="M8" s="70">
        <f>M10+M15+M28+M32</f>
        <v>1151014.4300000002</v>
      </c>
      <c r="N8" s="147">
        <f>+M8/M$6</f>
        <v>0.12891833028048627</v>
      </c>
      <c r="O8" s="70">
        <f>O10+O15+O28+O32</f>
        <v>1097892.58</v>
      </c>
      <c r="P8" s="147">
        <f>+O8/O$6</f>
        <v>0.12424931120640381</v>
      </c>
      <c r="Q8" s="70">
        <f>Q10+Q15+Q28+Q32</f>
        <v>1172024.2900000003</v>
      </c>
      <c r="R8" s="147">
        <f>+Q8/Q$6</f>
        <v>0.13173600110741376</v>
      </c>
      <c r="S8" s="70">
        <f>S10+S15+S28+S32</f>
        <v>1115840.9600000002</v>
      </c>
      <c r="T8" s="147">
        <f>+S8/S$6</f>
        <v>0.1260536205526953</v>
      </c>
      <c r="U8" s="70">
        <f>U10+U15+U28+U32</f>
        <v>1153111.1900000004</v>
      </c>
      <c r="V8" s="147">
        <f>+U8/U$6</f>
        <v>0.12968962761545333</v>
      </c>
      <c r="W8" s="70">
        <f>W10+W15+W28+W32</f>
        <v>1163139.5300000003</v>
      </c>
      <c r="X8" s="147">
        <f>+W8/W$6</f>
        <v>0.13051487582761964</v>
      </c>
      <c r="Y8" s="70">
        <f>Y10+Y15+Y28+Y32</f>
        <v>1173547.08</v>
      </c>
      <c r="Z8" s="147">
        <f>+Y8/Y$6</f>
        <v>0.13203534932006086</v>
      </c>
      <c r="AA8" s="70">
        <f>AA10+AA15+AA28+AA32</f>
        <v>1566169.2699999998</v>
      </c>
      <c r="AB8" s="147">
        <f>+AA8/AA$6</f>
        <v>0.16842189917795444</v>
      </c>
      <c r="AG8" s="206"/>
    </row>
    <row r="9" spans="1:28" ht="12.75">
      <c r="A9" s="54"/>
      <c r="B9" s="1"/>
      <c r="C9" s="1"/>
      <c r="D9" s="55"/>
      <c r="E9" s="69"/>
      <c r="F9" s="182"/>
      <c r="G9" s="69"/>
      <c r="H9" s="182"/>
      <c r="I9" s="69"/>
      <c r="J9" s="182"/>
      <c r="K9" s="69"/>
      <c r="L9" s="182"/>
      <c r="M9" s="69"/>
      <c r="N9" s="182"/>
      <c r="O9" s="69"/>
      <c r="P9" s="182"/>
      <c r="Q9" s="69"/>
      <c r="R9" s="182"/>
      <c r="S9" s="69"/>
      <c r="T9" s="182"/>
      <c r="U9" s="69"/>
      <c r="V9" s="182"/>
      <c r="W9" s="69"/>
      <c r="X9" s="182"/>
      <c r="Y9" s="69"/>
      <c r="Z9" s="182"/>
      <c r="AA9" s="69"/>
      <c r="AB9" s="182"/>
    </row>
    <row r="10" spans="1:31" ht="12.75">
      <c r="A10" s="54"/>
      <c r="B10" s="1"/>
      <c r="C10" s="4" t="s">
        <v>4</v>
      </c>
      <c r="D10" s="55"/>
      <c r="E10" s="70">
        <f>E11+E12+E13</f>
        <v>0</v>
      </c>
      <c r="F10" s="147" t="e">
        <f>+E10/E$6</f>
        <v>#DIV/0!</v>
      </c>
      <c r="G10" s="70">
        <f>G11+G12+G13</f>
        <v>0</v>
      </c>
      <c r="H10" s="147" t="e">
        <f>+G10/G$6</f>
        <v>#DIV/0!</v>
      </c>
      <c r="I10" s="70">
        <f>I11+I12+I13</f>
        <v>0</v>
      </c>
      <c r="J10" s="147" t="e">
        <f>+I10/I$6</f>
        <v>#DIV/0!</v>
      </c>
      <c r="K10" s="70">
        <f>K11+K12+K13</f>
        <v>0</v>
      </c>
      <c r="L10" s="147" t="e">
        <f>+K10/K$6</f>
        <v>#DIV/0!</v>
      </c>
      <c r="M10" s="70">
        <f>M11+M12+M13</f>
        <v>6233.8099999999995</v>
      </c>
      <c r="N10" s="147">
        <f>+M10/M$6</f>
        <v>0.000698212251331895</v>
      </c>
      <c r="O10" s="70">
        <f>O11+O12+O13</f>
        <v>14005.529999999999</v>
      </c>
      <c r="P10" s="147">
        <f>+O10/O$6</f>
        <v>0.0015850161366247912</v>
      </c>
      <c r="Q10" s="70">
        <f>Q11+Q12+Q13</f>
        <v>6905.08</v>
      </c>
      <c r="R10" s="147">
        <f>+Q10/Q$6</f>
        <v>0.0007761337664143295</v>
      </c>
      <c r="S10" s="70">
        <f>S11+S12+S13</f>
        <v>51158.85</v>
      </c>
      <c r="T10" s="147">
        <f>+S10/S$6</f>
        <v>0.005779280826733816</v>
      </c>
      <c r="U10" s="70">
        <f>U11+U12+U13</f>
        <v>5985.37</v>
      </c>
      <c r="V10" s="147">
        <f>+U10/U$6</f>
        <v>0.0006731704740812598</v>
      </c>
      <c r="W10" s="70">
        <f>W11+W12+W13</f>
        <v>8526.83</v>
      </c>
      <c r="X10" s="147">
        <f>+W10/W$6</f>
        <v>0.0009567881840050795</v>
      </c>
      <c r="Y10" s="70">
        <f>Y11+Y12+Y13</f>
        <v>42519.48</v>
      </c>
      <c r="Z10" s="147">
        <f>+Y10/Y$6</f>
        <v>0.004783851019174571</v>
      </c>
      <c r="AA10" s="70">
        <f>AA11+AA12+AA13</f>
        <v>258822.13</v>
      </c>
      <c r="AB10" s="147">
        <f>+AA10/AA$6</f>
        <v>0.027833080062848778</v>
      </c>
      <c r="AE10" s="206"/>
    </row>
    <row r="11" spans="1:28" ht="12.75">
      <c r="A11" s="54"/>
      <c r="B11" s="1"/>
      <c r="C11" s="1"/>
      <c r="D11" s="55" t="s">
        <v>204</v>
      </c>
      <c r="E11" s="69"/>
      <c r="F11" s="146" t="e">
        <f>+E11/E$6</f>
        <v>#DIV/0!</v>
      </c>
      <c r="G11" s="69"/>
      <c r="H11" s="146" t="e">
        <f>+G11/G$6</f>
        <v>#DIV/0!</v>
      </c>
      <c r="I11" s="69"/>
      <c r="J11" s="146" t="e">
        <f>+I11/I$6</f>
        <v>#DIV/0!</v>
      </c>
      <c r="K11" s="69"/>
      <c r="L11" s="146" t="e">
        <f>+K11/K$6</f>
        <v>#DIV/0!</v>
      </c>
      <c r="M11" s="69">
        <v>6189.62</v>
      </c>
      <c r="N11" s="146">
        <f>+M11/M$6</f>
        <v>0.000693262790346341</v>
      </c>
      <c r="O11" s="69">
        <v>2374.31</v>
      </c>
      <c r="P11" s="146">
        <f>+O11/O$6</f>
        <v>0.00026870240993019244</v>
      </c>
      <c r="Q11" s="69">
        <v>6860.89</v>
      </c>
      <c r="R11" s="146">
        <f>+Q11/Q$6</f>
        <v>0.0007711667926590871</v>
      </c>
      <c r="S11" s="69">
        <v>6748.11</v>
      </c>
      <c r="T11" s="146">
        <f>+S11/S$6</f>
        <v>0.0007623162510433822</v>
      </c>
      <c r="U11" s="69">
        <v>3111.29</v>
      </c>
      <c r="V11" s="146">
        <f>+U11/U$6</f>
        <v>0.00034992466034752784</v>
      </c>
      <c r="W11" s="69">
        <v>7200.04</v>
      </c>
      <c r="X11" s="146">
        <f>+W11/W$6</f>
        <v>0.000807910231160224</v>
      </c>
      <c r="Y11" s="69">
        <v>4778.04</v>
      </c>
      <c r="Z11" s="146">
        <f>+Y11/Y$6</f>
        <v>0.0005375755188835062</v>
      </c>
      <c r="AA11" s="69">
        <v>18965.69</v>
      </c>
      <c r="AB11" s="146">
        <f>+AA11/AA$6</f>
        <v>0.0020395225408938967</v>
      </c>
    </row>
    <row r="12" spans="1:28" ht="12.75">
      <c r="A12" s="54"/>
      <c r="B12" s="1"/>
      <c r="C12" s="1"/>
      <c r="D12" s="55" t="s">
        <v>5</v>
      </c>
      <c r="E12" s="69"/>
      <c r="F12" s="146" t="e">
        <f>+E12/E$6</f>
        <v>#DIV/0!</v>
      </c>
      <c r="G12" s="69"/>
      <c r="H12" s="146" t="e">
        <f>+G12/G$6</f>
        <v>#DIV/0!</v>
      </c>
      <c r="I12" s="69"/>
      <c r="J12" s="146" t="e">
        <f>+I12/I$6</f>
        <v>#DIV/0!</v>
      </c>
      <c r="K12" s="69"/>
      <c r="L12" s="146" t="e">
        <f>+K12/K$6</f>
        <v>#DIV/0!</v>
      </c>
      <c r="M12" s="69">
        <v>44.19</v>
      </c>
      <c r="N12" s="146">
        <f>+M12/M$6</f>
        <v>4.9494609855540096E-06</v>
      </c>
      <c r="O12" s="69">
        <v>11631.22</v>
      </c>
      <c r="P12" s="146">
        <f>+O12/O$6</f>
        <v>0.001316313726694599</v>
      </c>
      <c r="Q12" s="69">
        <v>44.19</v>
      </c>
      <c r="R12" s="146">
        <f>+Q12/Q$6</f>
        <v>4.966973755242404E-06</v>
      </c>
      <c r="S12" s="69">
        <v>44410.74</v>
      </c>
      <c r="T12" s="146">
        <f>+S12/S$6</f>
        <v>0.005016964575690434</v>
      </c>
      <c r="U12" s="69">
        <v>2874.08</v>
      </c>
      <c r="V12" s="146">
        <f>+U12/U$6</f>
        <v>0.0003232458137337319</v>
      </c>
      <c r="W12" s="69">
        <v>1326.79</v>
      </c>
      <c r="X12" s="146">
        <f>+W12/W$6</f>
        <v>0.00014887795284485554</v>
      </c>
      <c r="Y12" s="69">
        <v>37741.44</v>
      </c>
      <c r="Z12" s="146">
        <f>+Y12/Y$6</f>
        <v>0.0042462755002910645</v>
      </c>
      <c r="AA12" s="69">
        <v>239856.44</v>
      </c>
      <c r="AB12" s="146">
        <f>+AA12/AA$6</f>
        <v>0.025793557521954884</v>
      </c>
    </row>
    <row r="13" spans="1:28" ht="12.75" hidden="1">
      <c r="A13" s="54"/>
      <c r="B13" s="1"/>
      <c r="C13" s="1"/>
      <c r="D13" s="55" t="s">
        <v>6</v>
      </c>
      <c r="E13" s="69"/>
      <c r="F13" s="146" t="e">
        <f>+E13/E$6</f>
        <v>#DIV/0!</v>
      </c>
      <c r="G13" s="69"/>
      <c r="H13" s="146" t="e">
        <f>+G13/G$6</f>
        <v>#DIV/0!</v>
      </c>
      <c r="I13" s="69"/>
      <c r="J13" s="146" t="e">
        <f>+I13/I$6</f>
        <v>#DIV/0!</v>
      </c>
      <c r="K13" s="69"/>
      <c r="L13" s="146" t="e">
        <f>+K13/K$6</f>
        <v>#DIV/0!</v>
      </c>
      <c r="M13" s="69"/>
      <c r="N13" s="146">
        <f>+M13/M$6</f>
        <v>0</v>
      </c>
      <c r="O13" s="69"/>
      <c r="P13" s="146">
        <f>+O13/O$6</f>
        <v>0</v>
      </c>
      <c r="Q13" s="69"/>
      <c r="R13" s="146">
        <f>+Q13/Q$6</f>
        <v>0</v>
      </c>
      <c r="S13" s="69"/>
      <c r="T13" s="146">
        <f>+S13/S$6</f>
        <v>0</v>
      </c>
      <c r="U13" s="69"/>
      <c r="V13" s="146">
        <f>+U13/U$6</f>
        <v>0</v>
      </c>
      <c r="W13" s="69"/>
      <c r="X13" s="146">
        <f>+W13/W$6</f>
        <v>0</v>
      </c>
      <c r="Y13" s="69"/>
      <c r="Z13" s="146">
        <f>+Y13/Y$6</f>
        <v>0</v>
      </c>
      <c r="AA13" s="69">
        <v>0</v>
      </c>
      <c r="AB13" s="146">
        <f>+AA13/AA$6</f>
        <v>0</v>
      </c>
    </row>
    <row r="14" spans="1:28" ht="12.75">
      <c r="A14" s="54"/>
      <c r="B14" s="1"/>
      <c r="C14" s="1"/>
      <c r="D14" s="55"/>
      <c r="E14" s="69"/>
      <c r="F14" s="146" t="s">
        <v>111</v>
      </c>
      <c r="G14" s="69"/>
      <c r="H14" s="146" t="s">
        <v>111</v>
      </c>
      <c r="I14" s="69"/>
      <c r="J14" s="146" t="s">
        <v>111</v>
      </c>
      <c r="K14" s="69"/>
      <c r="L14" s="146" t="s">
        <v>111</v>
      </c>
      <c r="M14" s="69"/>
      <c r="N14" s="146" t="s">
        <v>111</v>
      </c>
      <c r="O14" s="69"/>
      <c r="P14" s="146" t="s">
        <v>111</v>
      </c>
      <c r="Q14" s="69"/>
      <c r="R14" s="146" t="s">
        <v>111</v>
      </c>
      <c r="S14" s="69"/>
      <c r="T14" s="146" t="s">
        <v>111</v>
      </c>
      <c r="U14" s="69"/>
      <c r="V14" s="146" t="s">
        <v>111</v>
      </c>
      <c r="W14" s="69"/>
      <c r="X14" s="146" t="s">
        <v>111</v>
      </c>
      <c r="Y14" s="69"/>
      <c r="Z14" s="146" t="s">
        <v>111</v>
      </c>
      <c r="AA14" s="69"/>
      <c r="AB14" s="146" t="s">
        <v>111</v>
      </c>
    </row>
    <row r="15" spans="1:28" ht="12.75">
      <c r="A15" s="54"/>
      <c r="B15" s="1"/>
      <c r="C15" s="4" t="s">
        <v>7</v>
      </c>
      <c r="D15" s="55"/>
      <c r="E15" s="70">
        <f>SUM(E16:E26)</f>
        <v>0</v>
      </c>
      <c r="F15" s="147" t="e">
        <f aca="true" t="shared" si="0" ref="F15:F26">+E15/E$6</f>
        <v>#DIV/0!</v>
      </c>
      <c r="G15" s="70">
        <f>SUM(G16:G26)</f>
        <v>0</v>
      </c>
      <c r="H15" s="147" t="e">
        <f aca="true" t="shared" si="1" ref="H15:H26">+G15/G$6</f>
        <v>#DIV/0!</v>
      </c>
      <c r="I15" s="70">
        <f>SUM(I16:I26)</f>
        <v>0</v>
      </c>
      <c r="J15" s="147" t="e">
        <f aca="true" t="shared" si="2" ref="J15:J26">+I15/I$6</f>
        <v>#DIV/0!</v>
      </c>
      <c r="K15" s="70">
        <f>SUM(K16:K26)</f>
        <v>0</v>
      </c>
      <c r="L15" s="147" t="e">
        <f aca="true" t="shared" si="3" ref="L15:L26">+K15/K$6</f>
        <v>#DIV/0!</v>
      </c>
      <c r="M15" s="70">
        <f>SUM(M16:M26)</f>
        <v>1082153.34</v>
      </c>
      <c r="N15" s="147">
        <f aca="true" t="shared" si="4" ref="N15:P26">+M15/M$6</f>
        <v>0.12120560617146332</v>
      </c>
      <c r="O15" s="70">
        <f>SUM(O16:O26)</f>
        <v>1020003.0299999999</v>
      </c>
      <c r="P15" s="147">
        <f t="shared" si="4"/>
        <v>0.11543449351478888</v>
      </c>
      <c r="Q15" s="70">
        <f>SUM(Q16:Q26)</f>
        <v>1108134.49</v>
      </c>
      <c r="R15" s="147">
        <f aca="true" t="shared" si="5" ref="R15:R26">+Q15/Q$6</f>
        <v>0.12455476191692524</v>
      </c>
      <c r="S15" s="70">
        <f>SUM(S16:S26)</f>
        <v>1012642.5100000001</v>
      </c>
      <c r="T15" s="147">
        <f aca="true" t="shared" si="6" ref="T15:T26">+S15/S$6</f>
        <v>0.11439556288655058</v>
      </c>
      <c r="U15" s="70">
        <f>SUM(U16:U26)</f>
        <v>1095323.1600000001</v>
      </c>
      <c r="V15" s="147">
        <f aca="true" t="shared" si="7" ref="V15:V26">+U15/U$6</f>
        <v>0.12319024736806308</v>
      </c>
      <c r="W15" s="70">
        <f>SUM(W16:W26)</f>
        <v>1101943.04</v>
      </c>
      <c r="X15" s="147">
        <f aca="true" t="shared" si="8" ref="X15:X26">+W15/W$6</f>
        <v>0.12364807086791184</v>
      </c>
      <c r="Y15" s="70">
        <f>SUM(Y16:Y26)</f>
        <v>1077462.04</v>
      </c>
      <c r="Z15" s="147">
        <f aca="true" t="shared" si="9" ref="Z15:Z26">+Y15/Y$6</f>
        <v>0.12122485689326191</v>
      </c>
      <c r="AA15" s="70">
        <f>SUM(AA16:AA26)</f>
        <v>1252972.38</v>
      </c>
      <c r="AB15" s="147">
        <f aca="true" t="shared" si="10" ref="AB15:AB26">+AA15/AA$6</f>
        <v>0.13474149435783633</v>
      </c>
    </row>
    <row r="16" spans="1:28" ht="12.75">
      <c r="A16" s="54"/>
      <c r="B16" s="1"/>
      <c r="C16" s="1"/>
      <c r="D16" s="55" t="s">
        <v>51</v>
      </c>
      <c r="E16" s="69"/>
      <c r="F16" s="146" t="e">
        <f t="shared" si="0"/>
        <v>#DIV/0!</v>
      </c>
      <c r="G16" s="69"/>
      <c r="H16" s="146" t="e">
        <f t="shared" si="1"/>
        <v>#DIV/0!</v>
      </c>
      <c r="I16" s="69"/>
      <c r="J16" s="146" t="e">
        <f t="shared" si="2"/>
        <v>#DIV/0!</v>
      </c>
      <c r="K16" s="69"/>
      <c r="L16" s="146" t="e">
        <f t="shared" si="3"/>
        <v>#DIV/0!</v>
      </c>
      <c r="M16" s="69">
        <v>104151.56</v>
      </c>
      <c r="N16" s="146">
        <f t="shared" si="4"/>
        <v>0.011665401285462493</v>
      </c>
      <c r="O16" s="69">
        <v>101782.85</v>
      </c>
      <c r="P16" s="146">
        <f t="shared" si="4"/>
        <v>0.011518840035447474</v>
      </c>
      <c r="Q16" s="69">
        <v>89148.59</v>
      </c>
      <c r="R16" s="146">
        <f t="shared" si="5"/>
        <v>0.010020337335299058</v>
      </c>
      <c r="S16" s="69">
        <v>92924.7</v>
      </c>
      <c r="T16" s="146">
        <f t="shared" si="6"/>
        <v>0.010497459130531508</v>
      </c>
      <c r="U16" s="69">
        <v>108109.33</v>
      </c>
      <c r="V16" s="146">
        <f t="shared" si="7"/>
        <v>0.012158982473716306</v>
      </c>
      <c r="W16" s="69">
        <v>91022.32</v>
      </c>
      <c r="X16" s="146">
        <f t="shared" si="8"/>
        <v>0.010213535423683742</v>
      </c>
      <c r="Y16" s="69">
        <v>87337.45</v>
      </c>
      <c r="Z16" s="146">
        <f t="shared" si="9"/>
        <v>0.009826304300866522</v>
      </c>
      <c r="AA16" s="69">
        <v>92561.01</v>
      </c>
      <c r="AB16" s="146">
        <f t="shared" si="10"/>
        <v>0.00995377791701253</v>
      </c>
    </row>
    <row r="17" spans="1:28" ht="12.75" customHeight="1">
      <c r="A17" s="54"/>
      <c r="B17" s="1"/>
      <c r="C17" s="1"/>
      <c r="D17" s="55" t="s">
        <v>57</v>
      </c>
      <c r="E17" s="69"/>
      <c r="F17" s="146" t="e">
        <f t="shared" si="0"/>
        <v>#DIV/0!</v>
      </c>
      <c r="G17" s="69"/>
      <c r="H17" s="146" t="e">
        <f t="shared" si="1"/>
        <v>#DIV/0!</v>
      </c>
      <c r="I17" s="69"/>
      <c r="J17" s="146" t="e">
        <f t="shared" si="2"/>
        <v>#DIV/0!</v>
      </c>
      <c r="K17" s="69"/>
      <c r="L17" s="146" t="e">
        <f t="shared" si="3"/>
        <v>#DIV/0!</v>
      </c>
      <c r="M17" s="69">
        <v>41278.56</v>
      </c>
      <c r="N17" s="146">
        <f t="shared" si="4"/>
        <v>0.004623367781395119</v>
      </c>
      <c r="O17" s="69">
        <v>39788.76</v>
      </c>
      <c r="P17" s="146">
        <f t="shared" si="4"/>
        <v>0.004502923249337301</v>
      </c>
      <c r="Q17" s="69">
        <v>38653.28</v>
      </c>
      <c r="R17" s="146">
        <f t="shared" si="5"/>
        <v>0.004344644202625846</v>
      </c>
      <c r="S17" s="69">
        <v>37111.85</v>
      </c>
      <c r="T17" s="146">
        <f t="shared" si="6"/>
        <v>0.004192428155629405</v>
      </c>
      <c r="U17" s="69">
        <f>5875+32427.88</f>
        <v>38302.880000000005</v>
      </c>
      <c r="V17" s="146">
        <f t="shared" si="7"/>
        <v>0.004307898741143423</v>
      </c>
      <c r="W17" s="69">
        <f>8250+1057.6+23400.15+3023.69</f>
        <v>35731.44</v>
      </c>
      <c r="X17" s="146">
        <f t="shared" si="8"/>
        <v>0.004009393829768678</v>
      </c>
      <c r="Y17" s="69">
        <f>1117.56+16832.66+3000+9140.81</f>
        <v>30091.03</v>
      </c>
      <c r="Z17" s="146">
        <f t="shared" si="9"/>
        <v>0.003385530691662094</v>
      </c>
      <c r="AA17" s="69">
        <f>15423.98+1113.56</f>
        <v>16537.54</v>
      </c>
      <c r="AB17" s="146">
        <f t="shared" si="10"/>
        <v>0.0017784054047564025</v>
      </c>
    </row>
    <row r="18" spans="1:28" ht="12.75" customHeight="1">
      <c r="A18" s="54"/>
      <c r="B18" s="1"/>
      <c r="C18" s="1"/>
      <c r="D18" s="55" t="s">
        <v>120</v>
      </c>
      <c r="E18" s="69"/>
      <c r="F18" s="146" t="e">
        <f t="shared" si="0"/>
        <v>#DIV/0!</v>
      </c>
      <c r="G18" s="69"/>
      <c r="H18" s="146" t="e">
        <f t="shared" si="1"/>
        <v>#DIV/0!</v>
      </c>
      <c r="I18" s="69"/>
      <c r="J18" s="146" t="e">
        <f t="shared" si="2"/>
        <v>#DIV/0!</v>
      </c>
      <c r="K18" s="69"/>
      <c r="L18" s="146" t="e">
        <f t="shared" si="3"/>
        <v>#DIV/0!</v>
      </c>
      <c r="M18" s="69">
        <v>53813.69</v>
      </c>
      <c r="N18" s="146">
        <f t="shared" si="4"/>
        <v>0.0060273536805543785</v>
      </c>
      <c r="O18" s="69">
        <v>48947.74</v>
      </c>
      <c r="P18" s="146">
        <f t="shared" si="4"/>
        <v>0.005539451755936032</v>
      </c>
      <c r="Q18" s="69">
        <v>90447.26</v>
      </c>
      <c r="R18" s="146">
        <f t="shared" si="5"/>
        <v>0.01016630836509586</v>
      </c>
      <c r="S18" s="69">
        <v>82034.59</v>
      </c>
      <c r="T18" s="146">
        <f t="shared" si="6"/>
        <v>0.009267232025660656</v>
      </c>
      <c r="U18" s="69">
        <v>37461.05</v>
      </c>
      <c r="V18" s="146">
        <f t="shared" si="7"/>
        <v>0.0042132186962680306</v>
      </c>
      <c r="W18" s="69">
        <v>47513.18</v>
      </c>
      <c r="X18" s="146">
        <f t="shared" si="8"/>
        <v>0.005331412636173873</v>
      </c>
      <c r="Y18" s="69">
        <v>45475.94</v>
      </c>
      <c r="Z18" s="146">
        <f t="shared" si="9"/>
        <v>0.005116481243818636</v>
      </c>
      <c r="AA18" s="69">
        <v>83299.41</v>
      </c>
      <c r="AB18" s="146">
        <f t="shared" si="10"/>
        <v>0.008957808776699529</v>
      </c>
    </row>
    <row r="19" spans="1:28" ht="12.75" customHeight="1">
      <c r="A19" s="54"/>
      <c r="B19" s="1"/>
      <c r="C19" s="1"/>
      <c r="D19" s="55" t="s">
        <v>245</v>
      </c>
      <c r="E19" s="69"/>
      <c r="F19" s="146" t="e">
        <f t="shared" si="0"/>
        <v>#DIV/0!</v>
      </c>
      <c r="G19" s="69"/>
      <c r="H19" s="146" t="e">
        <f t="shared" si="1"/>
        <v>#DIV/0!</v>
      </c>
      <c r="I19" s="69"/>
      <c r="J19" s="146" t="e">
        <f t="shared" si="2"/>
        <v>#DIV/0!</v>
      </c>
      <c r="K19" s="69"/>
      <c r="L19" s="146" t="e">
        <f t="shared" si="3"/>
        <v>#DIV/0!</v>
      </c>
      <c r="M19" s="69">
        <v>724084.3</v>
      </c>
      <c r="N19" s="146">
        <f t="shared" si="4"/>
        <v>0.0811004071758811</v>
      </c>
      <c r="O19" s="69">
        <v>717522.11</v>
      </c>
      <c r="P19" s="146">
        <f t="shared" si="4"/>
        <v>0.08120250520580576</v>
      </c>
      <c r="Q19" s="69">
        <v>763927.58</v>
      </c>
      <c r="R19" s="146">
        <f t="shared" si="5"/>
        <v>0.08586576693292243</v>
      </c>
      <c r="S19" s="69">
        <v>678849.68</v>
      </c>
      <c r="T19" s="146">
        <f t="shared" si="6"/>
        <v>0.07668786416931551</v>
      </c>
      <c r="U19" s="69">
        <v>807134.5</v>
      </c>
      <c r="V19" s="146">
        <f t="shared" si="7"/>
        <v>0.09077786569791685</v>
      </c>
      <c r="W19" s="69">
        <v>754814.63</v>
      </c>
      <c r="X19" s="146">
        <f t="shared" si="8"/>
        <v>0.08469709365592677</v>
      </c>
      <c r="Y19" s="69">
        <v>764825.29</v>
      </c>
      <c r="Z19" s="146">
        <f t="shared" si="9"/>
        <v>0.08605021141032267</v>
      </c>
      <c r="AA19" s="69">
        <v>889825.73</v>
      </c>
      <c r="AB19" s="146">
        <f t="shared" si="10"/>
        <v>0.09568961813687593</v>
      </c>
    </row>
    <row r="20" spans="1:28" ht="12.75" customHeight="1">
      <c r="A20" s="54"/>
      <c r="B20" s="1"/>
      <c r="C20" s="1"/>
      <c r="D20" s="55" t="s">
        <v>244</v>
      </c>
      <c r="E20" s="69"/>
      <c r="F20" s="146" t="e">
        <f t="shared" si="0"/>
        <v>#DIV/0!</v>
      </c>
      <c r="G20" s="69"/>
      <c r="H20" s="146" t="e">
        <f t="shared" si="1"/>
        <v>#DIV/0!</v>
      </c>
      <c r="I20" s="69"/>
      <c r="J20" s="146" t="e">
        <f t="shared" si="2"/>
        <v>#DIV/0!</v>
      </c>
      <c r="K20" s="69"/>
      <c r="L20" s="146" t="e">
        <f t="shared" si="3"/>
        <v>#DIV/0!</v>
      </c>
      <c r="M20" s="69">
        <v>-74700.85</v>
      </c>
      <c r="N20" s="146">
        <f t="shared" si="4"/>
        <v>-0.00836680114647482</v>
      </c>
      <c r="O20" s="69">
        <v>-120300.67</v>
      </c>
      <c r="P20" s="146">
        <f t="shared" si="4"/>
        <v>-0.013614515351919845</v>
      </c>
      <c r="Q20" s="69">
        <v>-97980.15</v>
      </c>
      <c r="R20" s="146">
        <f t="shared" si="5"/>
        <v>-0.011013008227759991</v>
      </c>
      <c r="S20" s="69">
        <v>-97871.33</v>
      </c>
      <c r="T20" s="146">
        <f t="shared" si="6"/>
        <v>-0.011056266920697753</v>
      </c>
      <c r="U20" s="69">
        <v>-113494.27</v>
      </c>
      <c r="V20" s="146">
        <f t="shared" si="7"/>
        <v>-0.012764622995972932</v>
      </c>
      <c r="W20" s="69">
        <v>-93393.11</v>
      </c>
      <c r="X20" s="146">
        <f t="shared" si="8"/>
        <v>-0.010479559709233869</v>
      </c>
      <c r="Y20" s="69">
        <v>-78196.07</v>
      </c>
      <c r="Z20" s="146">
        <f t="shared" si="9"/>
        <v>-0.008797811007212367</v>
      </c>
      <c r="AA20" s="69">
        <v>-60812.75</v>
      </c>
      <c r="AB20" s="146">
        <f t="shared" si="10"/>
        <v>-0.006539649988940309</v>
      </c>
    </row>
    <row r="21" spans="1:28" ht="12.75" customHeight="1">
      <c r="A21" s="54"/>
      <c r="B21" s="1"/>
      <c r="C21" s="1"/>
      <c r="D21" s="55" t="s">
        <v>241</v>
      </c>
      <c r="E21" s="69"/>
      <c r="F21" s="146" t="e">
        <f t="shared" si="0"/>
        <v>#DIV/0!</v>
      </c>
      <c r="G21" s="69"/>
      <c r="H21" s="146" t="e">
        <f t="shared" si="1"/>
        <v>#DIV/0!</v>
      </c>
      <c r="I21" s="69"/>
      <c r="J21" s="146" t="e">
        <f t="shared" si="2"/>
        <v>#DIV/0!</v>
      </c>
      <c r="K21" s="69"/>
      <c r="L21" s="146" t="e">
        <f t="shared" si="3"/>
        <v>#DIV/0!</v>
      </c>
      <c r="M21" s="69">
        <f>12571.07+4637.12</f>
        <v>17208.19</v>
      </c>
      <c r="N21" s="146">
        <f t="shared" si="4"/>
        <v>0.0019273877582484872</v>
      </c>
      <c r="O21" s="69">
        <f>12671.98+3272.37</f>
        <v>15944.349999999999</v>
      </c>
      <c r="P21" s="146">
        <f t="shared" si="4"/>
        <v>0.0018044338227823933</v>
      </c>
      <c r="Q21" s="69">
        <f>7835.82+2292.1</f>
        <v>10127.92</v>
      </c>
      <c r="R21" s="146">
        <f t="shared" si="5"/>
        <v>0.0011383822773295914</v>
      </c>
      <c r="S21" s="69">
        <f>3490.91+2292.1</f>
        <v>5783.01</v>
      </c>
      <c r="T21" s="146">
        <f t="shared" si="6"/>
        <v>0.0006532914405583771</v>
      </c>
      <c r="U21" s="69">
        <f>3125.08+874.58</f>
        <v>3999.66</v>
      </c>
      <c r="V21" s="146">
        <f t="shared" si="7"/>
        <v>0.00044983902722201826</v>
      </c>
      <c r="W21" s="69">
        <f>3036.79+1042.68</f>
        <v>4079.4700000000003</v>
      </c>
      <c r="X21" s="146">
        <f t="shared" si="8"/>
        <v>0.00045775378341109205</v>
      </c>
      <c r="Y21" s="69">
        <f>6886.91+875.24</f>
        <v>7762.15</v>
      </c>
      <c r="Z21" s="146">
        <f t="shared" si="9"/>
        <v>0.0008733166348338665</v>
      </c>
      <c r="AA21" s="69">
        <f>7206.16+1489.03</f>
        <v>8695.19</v>
      </c>
      <c r="AB21" s="146">
        <f t="shared" si="10"/>
        <v>0.0009350588353155199</v>
      </c>
    </row>
    <row r="22" spans="1:28" ht="12.75" customHeight="1">
      <c r="A22" s="54"/>
      <c r="B22" s="1"/>
      <c r="C22" s="1"/>
      <c r="D22" s="55" t="s">
        <v>290</v>
      </c>
      <c r="E22" s="69"/>
      <c r="F22" s="146" t="e">
        <f t="shared" si="0"/>
        <v>#DIV/0!</v>
      </c>
      <c r="G22" s="69"/>
      <c r="H22" s="146" t="e">
        <f t="shared" si="1"/>
        <v>#DIV/0!</v>
      </c>
      <c r="I22" s="69"/>
      <c r="J22" s="146" t="e">
        <f t="shared" si="2"/>
        <v>#DIV/0!</v>
      </c>
      <c r="K22" s="69"/>
      <c r="L22" s="146" t="e">
        <f t="shared" si="3"/>
        <v>#DIV/0!</v>
      </c>
      <c r="M22" s="69">
        <v>2507.88</v>
      </c>
      <c r="N22" s="146">
        <f t="shared" si="4"/>
        <v>0.00028089283132951324</v>
      </c>
      <c r="O22" s="69">
        <v>2507.88</v>
      </c>
      <c r="P22" s="146">
        <f t="shared" si="4"/>
        <v>0.00028381862512297517</v>
      </c>
      <c r="Q22" s="69"/>
      <c r="R22" s="146">
        <f t="shared" si="5"/>
        <v>0</v>
      </c>
      <c r="S22" s="69"/>
      <c r="T22" s="146">
        <f t="shared" si="6"/>
        <v>0</v>
      </c>
      <c r="U22" s="69"/>
      <c r="V22" s="146">
        <f t="shared" si="7"/>
        <v>0</v>
      </c>
      <c r="W22" s="69">
        <v>0</v>
      </c>
      <c r="X22" s="146">
        <f t="shared" si="8"/>
        <v>0</v>
      </c>
      <c r="Y22" s="69">
        <v>25500</v>
      </c>
      <c r="Z22" s="146">
        <f t="shared" si="9"/>
        <v>0.0028689955989337486</v>
      </c>
      <c r="AA22" s="69">
        <v>28200</v>
      </c>
      <c r="AB22" s="146">
        <f t="shared" si="10"/>
        <v>0.003032556983331895</v>
      </c>
    </row>
    <row r="23" spans="1:28" ht="12.75" customHeight="1">
      <c r="A23" s="54"/>
      <c r="B23" s="1"/>
      <c r="C23" s="1"/>
      <c r="D23" s="55" t="s">
        <v>64</v>
      </c>
      <c r="E23" s="69"/>
      <c r="F23" s="146" t="e">
        <f t="shared" si="0"/>
        <v>#DIV/0!</v>
      </c>
      <c r="G23" s="69"/>
      <c r="H23" s="146" t="e">
        <f t="shared" si="1"/>
        <v>#DIV/0!</v>
      </c>
      <c r="I23" s="69"/>
      <c r="J23" s="146" t="e">
        <f t="shared" si="2"/>
        <v>#DIV/0!</v>
      </c>
      <c r="K23" s="69"/>
      <c r="L23" s="146" t="e">
        <f t="shared" si="3"/>
        <v>#DIV/0!</v>
      </c>
      <c r="M23" s="69">
        <f>204621.01+9189</f>
        <v>213810.01</v>
      </c>
      <c r="N23" s="146">
        <f t="shared" si="4"/>
        <v>0.023947596805067046</v>
      </c>
      <c r="O23" s="69">
        <f>204621.01+9189</f>
        <v>213810.01</v>
      </c>
      <c r="P23" s="146">
        <f t="shared" si="4"/>
        <v>0.02419703617227681</v>
      </c>
      <c r="Q23" s="69">
        <f>204621.01+9189</f>
        <v>213810.01</v>
      </c>
      <c r="R23" s="146">
        <f t="shared" si="5"/>
        <v>0.024032331031412446</v>
      </c>
      <c r="S23" s="69">
        <f>204621.01+9189</f>
        <v>213810.01</v>
      </c>
      <c r="T23" s="146">
        <f t="shared" si="6"/>
        <v>0.024153554885552854</v>
      </c>
      <c r="U23" s="69">
        <f>204621.01+9189</f>
        <v>213810.01</v>
      </c>
      <c r="V23" s="146">
        <f t="shared" si="7"/>
        <v>0.02404706572776936</v>
      </c>
      <c r="W23" s="69">
        <f>252986.11+9189</f>
        <v>262175.11</v>
      </c>
      <c r="X23" s="146">
        <f t="shared" si="8"/>
        <v>0.02941844124818156</v>
      </c>
      <c r="Y23" s="69">
        <f>185477.25+9189</f>
        <v>194666.25</v>
      </c>
      <c r="Z23" s="146">
        <f t="shared" si="9"/>
        <v>0.021901828020036738</v>
      </c>
      <c r="AA23" s="69">
        <f>185477.25+9189</f>
        <v>194666.25</v>
      </c>
      <c r="AB23" s="146">
        <f t="shared" si="10"/>
        <v>0.02093391829278484</v>
      </c>
    </row>
    <row r="24" spans="1:28" ht="12.75" customHeight="1" hidden="1">
      <c r="A24" s="54"/>
      <c r="B24" s="1"/>
      <c r="C24" s="1"/>
      <c r="D24" s="55" t="s">
        <v>205</v>
      </c>
      <c r="E24" s="69"/>
      <c r="F24" s="146" t="e">
        <f t="shared" si="0"/>
        <v>#DIV/0!</v>
      </c>
      <c r="G24" s="69"/>
      <c r="H24" s="146" t="e">
        <f t="shared" si="1"/>
        <v>#DIV/0!</v>
      </c>
      <c r="I24" s="69"/>
      <c r="J24" s="146" t="e">
        <f t="shared" si="2"/>
        <v>#DIV/0!</v>
      </c>
      <c r="K24" s="69"/>
      <c r="L24" s="146" t="e">
        <f t="shared" si="3"/>
        <v>#DIV/0!</v>
      </c>
      <c r="M24" s="69"/>
      <c r="N24" s="146">
        <f t="shared" si="4"/>
        <v>0</v>
      </c>
      <c r="O24" s="69"/>
      <c r="P24" s="146">
        <f t="shared" si="4"/>
        <v>0</v>
      </c>
      <c r="Q24" s="69"/>
      <c r="R24" s="146">
        <f t="shared" si="5"/>
        <v>0</v>
      </c>
      <c r="S24" s="69"/>
      <c r="T24" s="146">
        <f t="shared" si="6"/>
        <v>0</v>
      </c>
      <c r="U24" s="69"/>
      <c r="V24" s="146">
        <f t="shared" si="7"/>
        <v>0</v>
      </c>
      <c r="W24" s="69"/>
      <c r="X24" s="146">
        <f t="shared" si="8"/>
        <v>0</v>
      </c>
      <c r="Y24" s="69"/>
      <c r="Z24" s="146">
        <f t="shared" si="9"/>
        <v>0</v>
      </c>
      <c r="AA24" s="69"/>
      <c r="AB24" s="146">
        <f t="shared" si="10"/>
        <v>0</v>
      </c>
    </row>
    <row r="25" spans="1:28" ht="13.5" customHeight="1" hidden="1">
      <c r="A25" s="54"/>
      <c r="B25" s="1"/>
      <c r="C25" s="1"/>
      <c r="D25" s="55" t="s">
        <v>242</v>
      </c>
      <c r="E25" s="69"/>
      <c r="F25" s="146" t="e">
        <f t="shared" si="0"/>
        <v>#DIV/0!</v>
      </c>
      <c r="G25" s="69"/>
      <c r="H25" s="146" t="e">
        <f t="shared" si="1"/>
        <v>#DIV/0!</v>
      </c>
      <c r="I25" s="69"/>
      <c r="J25" s="146" t="e">
        <f t="shared" si="2"/>
        <v>#DIV/0!</v>
      </c>
      <c r="K25" s="69"/>
      <c r="L25" s="146" t="e">
        <f t="shared" si="3"/>
        <v>#DIV/0!</v>
      </c>
      <c r="M25" s="69"/>
      <c r="N25" s="146">
        <f t="shared" si="4"/>
        <v>0</v>
      </c>
      <c r="O25" s="69"/>
      <c r="P25" s="146">
        <f t="shared" si="4"/>
        <v>0</v>
      </c>
      <c r="Q25" s="69"/>
      <c r="R25" s="146">
        <f t="shared" si="5"/>
        <v>0</v>
      </c>
      <c r="S25" s="69"/>
      <c r="T25" s="146">
        <f t="shared" si="6"/>
        <v>0</v>
      </c>
      <c r="U25" s="69"/>
      <c r="V25" s="146">
        <f t="shared" si="7"/>
        <v>0</v>
      </c>
      <c r="W25" s="69"/>
      <c r="X25" s="146">
        <f t="shared" si="8"/>
        <v>0</v>
      </c>
      <c r="Y25" s="69"/>
      <c r="Z25" s="146">
        <f t="shared" si="9"/>
        <v>0</v>
      </c>
      <c r="AA25" s="69">
        <v>0</v>
      </c>
      <c r="AB25" s="146">
        <f t="shared" si="10"/>
        <v>0</v>
      </c>
    </row>
    <row r="26" spans="1:28" ht="12.75" hidden="1">
      <c r="A26" s="54" t="s">
        <v>243</v>
      </c>
      <c r="B26" s="19"/>
      <c r="C26" s="1" t="s">
        <v>111</v>
      </c>
      <c r="D26" s="1" t="s">
        <v>246</v>
      </c>
      <c r="E26" s="69"/>
      <c r="F26" s="146" t="e">
        <f t="shared" si="0"/>
        <v>#DIV/0!</v>
      </c>
      <c r="G26" s="69"/>
      <c r="H26" s="146" t="e">
        <f t="shared" si="1"/>
        <v>#DIV/0!</v>
      </c>
      <c r="I26" s="69"/>
      <c r="J26" s="146" t="e">
        <f t="shared" si="2"/>
        <v>#DIV/0!</v>
      </c>
      <c r="K26" s="69"/>
      <c r="L26" s="146" t="e">
        <f t="shared" si="3"/>
        <v>#DIV/0!</v>
      </c>
      <c r="M26" s="69"/>
      <c r="N26" s="146">
        <f t="shared" si="4"/>
        <v>0</v>
      </c>
      <c r="O26" s="69"/>
      <c r="P26" s="146">
        <f t="shared" si="4"/>
        <v>0</v>
      </c>
      <c r="Q26" s="69"/>
      <c r="R26" s="146">
        <f t="shared" si="5"/>
        <v>0</v>
      </c>
      <c r="S26" s="69"/>
      <c r="T26" s="146">
        <f t="shared" si="6"/>
        <v>0</v>
      </c>
      <c r="U26" s="69"/>
      <c r="V26" s="146">
        <f t="shared" si="7"/>
        <v>0</v>
      </c>
      <c r="W26" s="69"/>
      <c r="X26" s="146">
        <f t="shared" si="8"/>
        <v>0</v>
      </c>
      <c r="Y26" s="69"/>
      <c r="Z26" s="146">
        <f t="shared" si="9"/>
        <v>0</v>
      </c>
      <c r="AA26" s="69">
        <v>0</v>
      </c>
      <c r="AB26" s="146">
        <f t="shared" si="10"/>
        <v>0</v>
      </c>
    </row>
    <row r="27" spans="1:28" ht="12.75">
      <c r="A27" s="54"/>
      <c r="B27" s="1"/>
      <c r="C27" s="1"/>
      <c r="D27" s="55"/>
      <c r="E27" s="69"/>
      <c r="F27" s="146" t="s">
        <v>111</v>
      </c>
      <c r="G27" s="69"/>
      <c r="H27" s="146" t="s">
        <v>111</v>
      </c>
      <c r="I27" s="69"/>
      <c r="J27" s="146" t="s">
        <v>111</v>
      </c>
      <c r="K27" s="69"/>
      <c r="L27" s="146" t="s">
        <v>111</v>
      </c>
      <c r="M27" s="69"/>
      <c r="N27" s="146" t="s">
        <v>111</v>
      </c>
      <c r="O27" s="69"/>
      <c r="P27" s="146" t="s">
        <v>111</v>
      </c>
      <c r="Q27" s="69"/>
      <c r="R27" s="146" t="s">
        <v>111</v>
      </c>
      <c r="S27" s="69"/>
      <c r="T27" s="146" t="s">
        <v>111</v>
      </c>
      <c r="U27" s="69"/>
      <c r="V27" s="146" t="s">
        <v>111</v>
      </c>
      <c r="W27" s="69"/>
      <c r="X27" s="146" t="s">
        <v>111</v>
      </c>
      <c r="Y27" s="69"/>
      <c r="Z27" s="146" t="s">
        <v>111</v>
      </c>
      <c r="AA27" s="69"/>
      <c r="AB27" s="146" t="s">
        <v>111</v>
      </c>
    </row>
    <row r="28" spans="1:28" ht="12.75">
      <c r="A28" s="54"/>
      <c r="B28" s="1"/>
      <c r="C28" s="4" t="s">
        <v>60</v>
      </c>
      <c r="D28" s="55"/>
      <c r="E28" s="70">
        <f>SUM(E29:E30)</f>
        <v>0</v>
      </c>
      <c r="F28" s="147" t="e">
        <f>+E28/E$6</f>
        <v>#DIV/0!</v>
      </c>
      <c r="G28" s="70">
        <f>SUM(G29:G30)</f>
        <v>0</v>
      </c>
      <c r="H28" s="147" t="e">
        <f>+G28/G$6</f>
        <v>#DIV/0!</v>
      </c>
      <c r="I28" s="70">
        <f>SUM(I29:I30)</f>
        <v>0</v>
      </c>
      <c r="J28" s="147" t="e">
        <f>+I28/I$6</f>
        <v>#DIV/0!</v>
      </c>
      <c r="K28" s="70">
        <f>SUM(K29:K30)</f>
        <v>0</v>
      </c>
      <c r="L28" s="147" t="e">
        <f>+K28/K$6</f>
        <v>#DIV/0!</v>
      </c>
      <c r="M28" s="70">
        <f>SUM(M29:M30)</f>
        <v>53131.090000000004</v>
      </c>
      <c r="N28" s="147">
        <f>+M28/M$6</f>
        <v>0.005950899684882526</v>
      </c>
      <c r="O28" s="70">
        <f>SUM(O29:O30)</f>
        <v>53408.23</v>
      </c>
      <c r="P28" s="147">
        <f>+O28/O$6</f>
        <v>0.006044248691664527</v>
      </c>
      <c r="Q28" s="70">
        <f>SUM(Q29:Q30)</f>
        <v>55916.11</v>
      </c>
      <c r="R28" s="147">
        <f>+Q28/Q$6</f>
        <v>0.006284993230713903</v>
      </c>
      <c r="S28" s="70">
        <f>SUM(S29:S30)</f>
        <v>50009.79</v>
      </c>
      <c r="T28" s="147">
        <f>+S28/S$6</f>
        <v>0.005649474538539951</v>
      </c>
      <c r="U28" s="70">
        <f>SUM(U29:U30)</f>
        <v>50009.79</v>
      </c>
      <c r="V28" s="147">
        <f>+U28/U$6</f>
        <v>0.00562456690948166</v>
      </c>
      <c r="W28" s="70">
        <f>SUM(W29:W30)</f>
        <v>50009.79</v>
      </c>
      <c r="X28" s="147">
        <f>+W28/W$6</f>
        <v>0.005611555074579344</v>
      </c>
      <c r="Y28" s="70">
        <f>SUM(Y29:Y30)</f>
        <v>50009.79</v>
      </c>
      <c r="Z28" s="147">
        <f>+Y28/Y$6</f>
        <v>0.00562658303582749</v>
      </c>
      <c r="AA28" s="70">
        <f>SUM(AA29:AA30)</f>
        <v>50009.79</v>
      </c>
      <c r="AB28" s="147">
        <f>+AA28/AA$6</f>
        <v>0.005377926875867431</v>
      </c>
    </row>
    <row r="29" spans="1:28" ht="12.75">
      <c r="A29" s="54"/>
      <c r="B29" s="1"/>
      <c r="C29" s="1"/>
      <c r="D29" s="55" t="s">
        <v>286</v>
      </c>
      <c r="E29" s="69"/>
      <c r="F29" s="146" t="e">
        <f>+E29/E$6</f>
        <v>#DIV/0!</v>
      </c>
      <c r="G29" s="69"/>
      <c r="H29" s="146" t="e">
        <f>+G29/G$6</f>
        <v>#DIV/0!</v>
      </c>
      <c r="I29" s="69"/>
      <c r="J29" s="146" t="e">
        <f>+I29/I$6</f>
        <v>#DIV/0!</v>
      </c>
      <c r="K29" s="69"/>
      <c r="L29" s="146" t="e">
        <f>+K29/K$6</f>
        <v>#DIV/0!</v>
      </c>
      <c r="M29" s="69">
        <v>3398.44</v>
      </c>
      <c r="N29" s="146">
        <f>+M29/M$6</f>
        <v>0.0003806391987270009</v>
      </c>
      <c r="O29" s="69">
        <v>3675.58</v>
      </c>
      <c r="P29" s="146">
        <f>+O29/O$6</f>
        <v>0.0004159680934213379</v>
      </c>
      <c r="Q29" s="69">
        <v>6183.46</v>
      </c>
      <c r="R29" s="146">
        <f>+Q29/Q$6</f>
        <v>0.0006950233884723059</v>
      </c>
      <c r="S29" s="69">
        <v>277.14</v>
      </c>
      <c r="T29" s="146">
        <f>+S29/S$6</f>
        <v>3.1307777409402474E-05</v>
      </c>
      <c r="U29" s="69">
        <v>277.14</v>
      </c>
      <c r="V29" s="146">
        <f>+U29/U$6</f>
        <v>3.1169746429524045E-05</v>
      </c>
      <c r="W29" s="69">
        <v>277.14</v>
      </c>
      <c r="X29" s="146">
        <f>+W29/W$6</f>
        <v>3.1097638549750345E-05</v>
      </c>
      <c r="Y29" s="69">
        <v>277.14</v>
      </c>
      <c r="Z29" s="146">
        <f>+Y29/Y$6</f>
        <v>3.118091922699996E-05</v>
      </c>
      <c r="AA29" s="69">
        <v>277.14</v>
      </c>
      <c r="AB29" s="146">
        <f>+AA29/AA$6</f>
        <v>2.980293767236175E-05</v>
      </c>
    </row>
    <row r="30" spans="1:28" ht="12.75">
      <c r="A30" s="54"/>
      <c r="B30" s="1"/>
      <c r="C30" s="1"/>
      <c r="D30" s="55" t="s">
        <v>285</v>
      </c>
      <c r="E30" s="69"/>
      <c r="F30" s="146"/>
      <c r="G30" s="69"/>
      <c r="H30" s="146"/>
      <c r="I30" s="69"/>
      <c r="J30" s="146"/>
      <c r="K30" s="69"/>
      <c r="L30" s="146"/>
      <c r="M30" s="69">
        <v>49732.65</v>
      </c>
      <c r="N30" s="146"/>
      <c r="O30" s="69">
        <v>49732.65</v>
      </c>
      <c r="P30" s="146"/>
      <c r="Q30" s="69">
        <v>49732.65</v>
      </c>
      <c r="R30" s="146"/>
      <c r="S30" s="69">
        <v>49732.65</v>
      </c>
      <c r="T30" s="146"/>
      <c r="U30" s="69">
        <v>49732.65</v>
      </c>
      <c r="V30" s="146"/>
      <c r="W30" s="69">
        <v>49732.65</v>
      </c>
      <c r="X30" s="146">
        <f>+W30/W$6</f>
        <v>0.005580457436029594</v>
      </c>
      <c r="Y30" s="69">
        <v>49732.65</v>
      </c>
      <c r="Z30" s="146">
        <f>+Y30/Y$6</f>
        <v>0.00559540211660049</v>
      </c>
      <c r="AA30" s="69">
        <v>49732.65</v>
      </c>
      <c r="AB30" s="146">
        <f>+AA30/AA$6</f>
        <v>0.00534812393819507</v>
      </c>
    </row>
    <row r="31" spans="1:28" ht="12.75">
      <c r="A31" s="54"/>
      <c r="B31" s="1"/>
      <c r="C31" s="1"/>
      <c r="D31" s="55"/>
      <c r="E31" s="69"/>
      <c r="F31" s="146" t="s">
        <v>116</v>
      </c>
      <c r="G31" s="69"/>
      <c r="H31" s="146" t="s">
        <v>116</v>
      </c>
      <c r="I31" s="69"/>
      <c r="J31" s="146" t="s">
        <v>116</v>
      </c>
      <c r="K31" s="69"/>
      <c r="L31" s="146" t="s">
        <v>116</v>
      </c>
      <c r="M31" s="69"/>
      <c r="N31" s="146" t="s">
        <v>116</v>
      </c>
      <c r="O31" s="69"/>
      <c r="P31" s="146" t="s">
        <v>116</v>
      </c>
      <c r="Q31" s="69"/>
      <c r="R31" s="146" t="s">
        <v>116</v>
      </c>
      <c r="S31" s="69"/>
      <c r="T31" s="146" t="s">
        <v>116</v>
      </c>
      <c r="U31" s="69"/>
      <c r="V31" s="146" t="s">
        <v>116</v>
      </c>
      <c r="W31" s="69"/>
      <c r="X31" s="146" t="s">
        <v>116</v>
      </c>
      <c r="Y31" s="69"/>
      <c r="Z31" s="146"/>
      <c r="AA31" s="69"/>
      <c r="AB31" s="146" t="s">
        <v>116</v>
      </c>
    </row>
    <row r="32" spans="1:28" ht="12.75">
      <c r="A32" s="54"/>
      <c r="B32" s="1"/>
      <c r="C32" s="4" t="s">
        <v>62</v>
      </c>
      <c r="D32" s="55"/>
      <c r="E32" s="70">
        <f>E33</f>
        <v>0</v>
      </c>
      <c r="F32" s="147" t="e">
        <f>+E32/E$6</f>
        <v>#DIV/0!</v>
      </c>
      <c r="G32" s="70">
        <f>G33</f>
        <v>0</v>
      </c>
      <c r="H32" s="147" t="e">
        <f>+G32/G$6</f>
        <v>#DIV/0!</v>
      </c>
      <c r="I32" s="70">
        <f>I33</f>
        <v>0</v>
      </c>
      <c r="J32" s="147" t="e">
        <f>+I32/I$6</f>
        <v>#DIV/0!</v>
      </c>
      <c r="K32" s="70">
        <f>K33</f>
        <v>0</v>
      </c>
      <c r="L32" s="147" t="e">
        <f>+K32/K$6</f>
        <v>#DIV/0!</v>
      </c>
      <c r="M32" s="70">
        <f>M33</f>
        <v>9496.19</v>
      </c>
      <c r="N32" s="147">
        <f>+M32/M$6</f>
        <v>0.0010636121728085119</v>
      </c>
      <c r="O32" s="70">
        <f>O33</f>
        <v>10475.79</v>
      </c>
      <c r="P32" s="147">
        <f>+O32/O$6</f>
        <v>0.0011855528633256025</v>
      </c>
      <c r="Q32" s="70">
        <f>Q33</f>
        <v>1068.61</v>
      </c>
      <c r="R32" s="147">
        <f>+Q32/Q$6</f>
        <v>0.0001201121933602531</v>
      </c>
      <c r="S32" s="70">
        <f>S33</f>
        <v>2029.81</v>
      </c>
      <c r="T32" s="147">
        <f>+S32/S$6</f>
        <v>0.000229302300870965</v>
      </c>
      <c r="U32" s="70">
        <f>U33</f>
        <v>1792.87</v>
      </c>
      <c r="V32" s="147">
        <f>+U32/U$6</f>
        <v>0.0002016428638273103</v>
      </c>
      <c r="W32" s="70">
        <f>W33</f>
        <v>2659.87</v>
      </c>
      <c r="X32" s="147">
        <f>+W32/W$6</f>
        <v>0.00029846170112334723</v>
      </c>
      <c r="Y32" s="70">
        <f>Y33</f>
        <v>3555.77</v>
      </c>
      <c r="Z32" s="147">
        <f>+Y32/Y$6</f>
        <v>0.0004000583717968884</v>
      </c>
      <c r="AA32" s="70">
        <f>AA33</f>
        <v>4364.97</v>
      </c>
      <c r="AB32" s="147">
        <f>+AA32/AA$6</f>
        <v>0.0004693978814019228</v>
      </c>
    </row>
    <row r="33" spans="1:28" ht="12.75">
      <c r="A33" s="54"/>
      <c r="B33" s="1"/>
      <c r="C33" s="1"/>
      <c r="D33" s="55" t="s">
        <v>296</v>
      </c>
      <c r="E33" s="69"/>
      <c r="F33" s="146" t="e">
        <f>+E33/E$6</f>
        <v>#DIV/0!</v>
      </c>
      <c r="G33" s="69"/>
      <c r="H33" s="146" t="e">
        <f>+G33/G$6</f>
        <v>#DIV/0!</v>
      </c>
      <c r="I33" s="69"/>
      <c r="J33" s="146" t="e">
        <f>+I33/I$6</f>
        <v>#DIV/0!</v>
      </c>
      <c r="K33" s="69"/>
      <c r="L33" s="146" t="e">
        <f>+K33/K$6</f>
        <v>#DIV/0!</v>
      </c>
      <c r="M33" s="69">
        <v>9496.19</v>
      </c>
      <c r="N33" s="146">
        <f>+M33/M$6</f>
        <v>0.0010636121728085119</v>
      </c>
      <c r="O33" s="69">
        <v>10475.79</v>
      </c>
      <c r="P33" s="146">
        <f>+O33/O$6</f>
        <v>0.0011855528633256025</v>
      </c>
      <c r="Q33" s="69">
        <v>1068.61</v>
      </c>
      <c r="R33" s="146">
        <f>+Q33/Q$6</f>
        <v>0.0001201121933602531</v>
      </c>
      <c r="S33" s="69">
        <v>2029.81</v>
      </c>
      <c r="T33" s="146">
        <f>+S33/S$6</f>
        <v>0.000229302300870965</v>
      </c>
      <c r="U33" s="69">
        <v>1792.87</v>
      </c>
      <c r="V33" s="146">
        <f>+U33/U$6</f>
        <v>0.0002016428638273103</v>
      </c>
      <c r="W33" s="69">
        <v>2659.87</v>
      </c>
      <c r="X33" s="146">
        <f>+W33/W$6</f>
        <v>0.00029846170112334723</v>
      </c>
      <c r="Y33" s="69">
        <v>3555.77</v>
      </c>
      <c r="Z33" s="146">
        <f>+Y33/Y$6</f>
        <v>0.0004000583717968884</v>
      </c>
      <c r="AA33" s="69">
        <v>4364.97</v>
      </c>
      <c r="AB33" s="146">
        <f>+AA33/AA$6</f>
        <v>0.0004693978814019228</v>
      </c>
    </row>
    <row r="34" spans="1:28" ht="12.75">
      <c r="A34" s="54"/>
      <c r="B34" s="1"/>
      <c r="C34" s="1"/>
      <c r="D34" s="55"/>
      <c r="E34" s="69"/>
      <c r="F34" s="146"/>
      <c r="G34" s="69"/>
      <c r="H34" s="146"/>
      <c r="I34" s="69"/>
      <c r="J34" s="146"/>
      <c r="K34" s="69"/>
      <c r="L34" s="146"/>
      <c r="M34" s="69"/>
      <c r="N34" s="146"/>
      <c r="O34" s="69"/>
      <c r="P34" s="146"/>
      <c r="Q34" s="69"/>
      <c r="R34" s="146"/>
      <c r="S34" s="69"/>
      <c r="T34" s="146"/>
      <c r="U34" s="69"/>
      <c r="V34" s="146"/>
      <c r="W34" s="69"/>
      <c r="X34" s="146"/>
      <c r="Y34" s="69"/>
      <c r="Z34" s="146"/>
      <c r="AA34" s="69"/>
      <c r="AB34" s="146"/>
    </row>
    <row r="35" spans="1:28" ht="12.75">
      <c r="A35" s="59"/>
      <c r="B35" s="4" t="s">
        <v>8</v>
      </c>
      <c r="C35" s="4"/>
      <c r="D35" s="57"/>
      <c r="E35" s="70">
        <f>E37+E44+E71</f>
        <v>0</v>
      </c>
      <c r="F35" s="146" t="e">
        <f>+E35/E$6</f>
        <v>#DIV/0!</v>
      </c>
      <c r="G35" s="70">
        <f>G37+G44+G71</f>
        <v>0</v>
      </c>
      <c r="H35" s="146" t="e">
        <f>+G35/G$6</f>
        <v>#DIV/0!</v>
      </c>
      <c r="I35" s="70">
        <f>I37+I44+I71</f>
        <v>0</v>
      </c>
      <c r="J35" s="146" t="e">
        <f>+I35/I$6</f>
        <v>#DIV/0!</v>
      </c>
      <c r="K35" s="70">
        <f>K37+K44+K71</f>
        <v>0</v>
      </c>
      <c r="L35" s="146" t="e">
        <f>+K35/K$6</f>
        <v>#DIV/0!</v>
      </c>
      <c r="M35" s="70">
        <f>M37+M44+M71</f>
        <v>7777230.51</v>
      </c>
      <c r="N35" s="146">
        <f>+M35/M$6</f>
        <v>0.8710816697195138</v>
      </c>
      <c r="O35" s="70">
        <f>O37+O44+O71</f>
        <v>7738313.990000001</v>
      </c>
      <c r="P35" s="146">
        <f>+O35/O$6</f>
        <v>0.8757506887935963</v>
      </c>
      <c r="Q35" s="70">
        <f>Q37+Q44+Q71</f>
        <v>7724741.06</v>
      </c>
      <c r="R35" s="146">
        <f>+Q35/Q$6</f>
        <v>0.8682639988925863</v>
      </c>
      <c r="S35" s="70">
        <f>S37+S44+S71</f>
        <v>7736272.569999999</v>
      </c>
      <c r="T35" s="146">
        <f>+S35/S$6</f>
        <v>0.8739463794473047</v>
      </c>
      <c r="U35" s="70">
        <f>U37+U44+U71</f>
        <v>7738202.719999999</v>
      </c>
      <c r="V35" s="146">
        <f>+U35/U$6</f>
        <v>0.8703103723845466</v>
      </c>
      <c r="W35" s="70">
        <f>W37+W44+W71</f>
        <v>7748791.18</v>
      </c>
      <c r="X35" s="146">
        <f>+W35/W$6</f>
        <v>0.8694851241723802</v>
      </c>
      <c r="Y35" s="70">
        <f>Y37+Y44+Y71</f>
        <v>7714580.88</v>
      </c>
      <c r="Z35" s="146">
        <f>+Y35/Y$6</f>
        <v>0.867964650679939</v>
      </c>
      <c r="AA35" s="70">
        <f>AA37+AA44+AA71</f>
        <v>7732914.029999999</v>
      </c>
      <c r="AB35" s="146">
        <f>+AA35/AA$6</f>
        <v>0.8315781008220455</v>
      </c>
    </row>
    <row r="36" spans="1:28" ht="12.75">
      <c r="A36" s="54"/>
      <c r="B36" s="1"/>
      <c r="C36" s="1"/>
      <c r="D36" s="55"/>
      <c r="E36" s="69"/>
      <c r="F36" s="146"/>
      <c r="G36" s="69"/>
      <c r="H36" s="146"/>
      <c r="I36" s="69"/>
      <c r="J36" s="146"/>
      <c r="K36" s="69"/>
      <c r="L36" s="146"/>
      <c r="M36" s="69"/>
      <c r="N36" s="146"/>
      <c r="O36" s="69"/>
      <c r="P36" s="146"/>
      <c r="Q36" s="69"/>
      <c r="R36" s="146"/>
      <c r="S36" s="69"/>
      <c r="T36" s="146"/>
      <c r="U36" s="69"/>
      <c r="V36" s="146"/>
      <c r="W36" s="69"/>
      <c r="X36" s="146"/>
      <c r="Y36" s="69"/>
      <c r="Z36" s="146"/>
      <c r="AA36" s="69"/>
      <c r="AB36" s="146"/>
    </row>
    <row r="37" spans="1:28" ht="12.75">
      <c r="A37" s="54"/>
      <c r="B37" s="1"/>
      <c r="C37" s="4" t="s">
        <v>9</v>
      </c>
      <c r="D37" s="55"/>
      <c r="E37" s="70">
        <f>E38+E39+E40+E41+E42</f>
        <v>0</v>
      </c>
      <c r="F37" s="147" t="e">
        <f aca="true" t="shared" si="11" ref="F37:F42">+E37/E$6</f>
        <v>#DIV/0!</v>
      </c>
      <c r="G37" s="70">
        <f>G38+G39+G40+G41+G42</f>
        <v>0</v>
      </c>
      <c r="H37" s="147" t="e">
        <f aca="true" t="shared" si="12" ref="H37:H42">+G37/G$6</f>
        <v>#DIV/0!</v>
      </c>
      <c r="I37" s="70">
        <f>I38+I39+I40+I41+I42</f>
        <v>0</v>
      </c>
      <c r="J37" s="147" t="e">
        <f aca="true" t="shared" si="13" ref="J37:J42">+I37/I$6</f>
        <v>#DIV/0!</v>
      </c>
      <c r="K37" s="70">
        <f>K38+K39+K40+K41+K42</f>
        <v>0</v>
      </c>
      <c r="L37" s="147" t="e">
        <f aca="true" t="shared" si="14" ref="L37:L42">+K37/K$6</f>
        <v>#DIV/0!</v>
      </c>
      <c r="M37" s="70">
        <f>M38+M39+M40+M41+M42</f>
        <v>397306.36</v>
      </c>
      <c r="N37" s="147">
        <f aca="true" t="shared" si="15" ref="N37:P42">+M37/M$6</f>
        <v>0.04449993953682906</v>
      </c>
      <c r="O37" s="70">
        <f>O38+O39+O40+O41+O42</f>
        <v>331846.36</v>
      </c>
      <c r="P37" s="147">
        <f t="shared" si="15"/>
        <v>0.03755529676350696</v>
      </c>
      <c r="Q37" s="70">
        <f>Q38+Q39+Q40+Q41+Q42</f>
        <v>339447.31</v>
      </c>
      <c r="R37" s="147">
        <f aca="true" t="shared" si="16" ref="R37:R42">+Q37/Q$6</f>
        <v>0.0381540140316278</v>
      </c>
      <c r="S37" s="70">
        <f>S38+S39+S40+S41+S42</f>
        <v>339347.31</v>
      </c>
      <c r="T37" s="147">
        <f aca="true" t="shared" si="17" ref="T37:T42">+S37/S$6</f>
        <v>0.038335173724325246</v>
      </c>
      <c r="U37" s="70">
        <f>U38+U39+U40+U41+U42</f>
        <v>334849.91</v>
      </c>
      <c r="V37" s="147">
        <f aca="true" t="shared" si="18" ref="V37:V42">+U37/U$6</f>
        <v>0.03766034057389387</v>
      </c>
      <c r="W37" s="70">
        <f>W38+W39+W40+W41+W42</f>
        <v>333264.4</v>
      </c>
      <c r="X37" s="147">
        <f aca="true" t="shared" si="19" ref="X37:X42">+W37/W$6</f>
        <v>0.03739530869848964</v>
      </c>
      <c r="Y37" s="70">
        <f>Y38+Y39+Y40+Y41+Y42</f>
        <v>276961.7</v>
      </c>
      <c r="Z37" s="147">
        <f aca="true" t="shared" si="20" ref="Z37:Z42">+Y37/Y$6</f>
        <v>0.031160858759733696</v>
      </c>
      <c r="AA37" s="70">
        <f>AA38+AA39+AA40+AA41+AA42</f>
        <v>272961.7</v>
      </c>
      <c r="AB37" s="147">
        <f aca="true" t="shared" si="21" ref="AB37:AB42">+AA37/AA$6</f>
        <v>0.029353613812664745</v>
      </c>
    </row>
    <row r="38" spans="1:29" ht="12.75">
      <c r="A38" s="54"/>
      <c r="B38" s="1"/>
      <c r="C38" s="1" t="s">
        <v>10</v>
      </c>
      <c r="D38" s="55" t="s">
        <v>287</v>
      </c>
      <c r="E38" s="69"/>
      <c r="F38" s="146" t="e">
        <f t="shared" si="11"/>
        <v>#DIV/0!</v>
      </c>
      <c r="G38" s="69"/>
      <c r="H38" s="146" t="e">
        <f t="shared" si="12"/>
        <v>#DIV/0!</v>
      </c>
      <c r="I38" s="69"/>
      <c r="J38" s="146" t="e">
        <f t="shared" si="13"/>
        <v>#DIV/0!</v>
      </c>
      <c r="K38" s="69"/>
      <c r="L38" s="146" t="e">
        <f t="shared" si="14"/>
        <v>#DIV/0!</v>
      </c>
      <c r="M38" s="69">
        <v>259288.35</v>
      </c>
      <c r="N38" s="146">
        <f t="shared" si="15"/>
        <v>0.029041357147175224</v>
      </c>
      <c r="O38" s="69">
        <v>258928.35</v>
      </c>
      <c r="P38" s="146">
        <f t="shared" si="15"/>
        <v>0.029303111912196957</v>
      </c>
      <c r="Q38" s="69">
        <f>258629.3</f>
        <v>258629.3</v>
      </c>
      <c r="R38" s="146">
        <f t="shared" si="16"/>
        <v>0.029070037235499304</v>
      </c>
      <c r="S38" s="69">
        <f>258629.3</f>
        <v>258629.3</v>
      </c>
      <c r="T38" s="146">
        <f t="shared" si="17"/>
        <v>0.029216672280975593</v>
      </c>
      <c r="U38" s="69">
        <v>258231.9</v>
      </c>
      <c r="V38" s="146">
        <f t="shared" si="18"/>
        <v>0.029043165342477487</v>
      </c>
      <c r="W38" s="69">
        <v>257676.24</v>
      </c>
      <c r="X38" s="146">
        <f t="shared" si="19"/>
        <v>0.02891362695525266</v>
      </c>
      <c r="Y38" s="69">
        <v>201373.54</v>
      </c>
      <c r="Z38" s="146">
        <f t="shared" si="20"/>
        <v>0.022656462745165067</v>
      </c>
      <c r="AA38" s="69">
        <v>201373.54</v>
      </c>
      <c r="AB38" s="146">
        <f t="shared" si="21"/>
        <v>0.0216552033682718</v>
      </c>
      <c r="AC38" s="19"/>
    </row>
    <row r="39" spans="1:29" ht="12.75" customHeight="1">
      <c r="A39" s="54"/>
      <c r="B39" s="1"/>
      <c r="C39" s="1"/>
      <c r="D39" s="55" t="s">
        <v>121</v>
      </c>
      <c r="E39" s="69"/>
      <c r="F39" s="146" t="e">
        <f t="shared" si="11"/>
        <v>#DIV/0!</v>
      </c>
      <c r="G39" s="69"/>
      <c r="H39" s="146" t="e">
        <f t="shared" si="12"/>
        <v>#DIV/0!</v>
      </c>
      <c r="I39" s="69"/>
      <c r="J39" s="146" t="e">
        <f t="shared" si="13"/>
        <v>#DIV/0!</v>
      </c>
      <c r="K39" s="69"/>
      <c r="L39" s="146" t="e">
        <f t="shared" si="14"/>
        <v>#DIV/0!</v>
      </c>
      <c r="M39" s="69">
        <v>73018.01</v>
      </c>
      <c r="N39" s="146">
        <f t="shared" si="15"/>
        <v>0.008178316174197613</v>
      </c>
      <c r="O39" s="69">
        <v>72918.01</v>
      </c>
      <c r="P39" s="146">
        <f t="shared" si="15"/>
        <v>0.008252184851310011</v>
      </c>
      <c r="Q39" s="69">
        <v>72818.01</v>
      </c>
      <c r="R39" s="146">
        <f t="shared" si="16"/>
        <v>0.008184773581782732</v>
      </c>
      <c r="S39" s="69">
        <v>72718.01</v>
      </c>
      <c r="T39" s="146">
        <f t="shared" si="17"/>
        <v>0.008214762469274385</v>
      </c>
      <c r="U39" s="69">
        <v>72618.01</v>
      </c>
      <c r="V39" s="146">
        <f t="shared" si="18"/>
        <v>0.008167297964626691</v>
      </c>
      <c r="W39" s="69">
        <v>71588.16</v>
      </c>
      <c r="X39" s="146">
        <f t="shared" si="19"/>
        <v>0.00803284521946199</v>
      </c>
      <c r="Y39" s="69">
        <v>71588.16</v>
      </c>
      <c r="Z39" s="146">
        <f t="shared" si="20"/>
        <v>0.008054357489245687</v>
      </c>
      <c r="AA39" s="69">
        <v>71588.16</v>
      </c>
      <c r="AB39" s="146">
        <f t="shared" si="21"/>
        <v>0.0076984104443929445</v>
      </c>
      <c r="AC39" s="19"/>
    </row>
    <row r="40" spans="1:29" ht="12.75" customHeight="1" hidden="1">
      <c r="A40" s="54"/>
      <c r="B40" s="1"/>
      <c r="C40" s="1"/>
      <c r="D40" s="55" t="s">
        <v>97</v>
      </c>
      <c r="E40" s="69"/>
      <c r="F40" s="146" t="e">
        <f t="shared" si="11"/>
        <v>#DIV/0!</v>
      </c>
      <c r="G40" s="69"/>
      <c r="H40" s="146" t="e">
        <f t="shared" si="12"/>
        <v>#DIV/0!</v>
      </c>
      <c r="I40" s="69"/>
      <c r="J40" s="146" t="e">
        <f t="shared" si="13"/>
        <v>#DIV/0!</v>
      </c>
      <c r="K40" s="69"/>
      <c r="L40" s="146" t="e">
        <f t="shared" si="14"/>
        <v>#DIV/0!</v>
      </c>
      <c r="M40" s="69"/>
      <c r="N40" s="146">
        <f t="shared" si="15"/>
        <v>0</v>
      </c>
      <c r="O40" s="69"/>
      <c r="P40" s="146">
        <f t="shared" si="15"/>
        <v>0</v>
      </c>
      <c r="Q40" s="69"/>
      <c r="R40" s="146">
        <f t="shared" si="16"/>
        <v>0</v>
      </c>
      <c r="S40" s="69"/>
      <c r="T40" s="146">
        <f t="shared" si="17"/>
        <v>0</v>
      </c>
      <c r="U40" s="69"/>
      <c r="V40" s="146">
        <f t="shared" si="18"/>
        <v>0</v>
      </c>
      <c r="W40" s="69"/>
      <c r="X40" s="146">
        <f t="shared" si="19"/>
        <v>0</v>
      </c>
      <c r="Y40" s="69"/>
      <c r="Z40" s="146">
        <f t="shared" si="20"/>
        <v>0</v>
      </c>
      <c r="AA40" s="69"/>
      <c r="AB40" s="146">
        <f t="shared" si="21"/>
        <v>0</v>
      </c>
      <c r="AC40" s="19"/>
    </row>
    <row r="41" spans="1:29" ht="12.75" customHeight="1" hidden="1">
      <c r="A41" s="54"/>
      <c r="B41" s="1"/>
      <c r="C41" s="1"/>
      <c r="D41" s="55" t="s">
        <v>284</v>
      </c>
      <c r="E41" s="69"/>
      <c r="F41" s="146" t="e">
        <f t="shared" si="11"/>
        <v>#DIV/0!</v>
      </c>
      <c r="G41" s="69"/>
      <c r="H41" s="146" t="e">
        <f t="shared" si="12"/>
        <v>#DIV/0!</v>
      </c>
      <c r="I41" s="69"/>
      <c r="J41" s="146" t="e">
        <f t="shared" si="13"/>
        <v>#DIV/0!</v>
      </c>
      <c r="K41" s="69"/>
      <c r="L41" s="146" t="e">
        <f t="shared" si="14"/>
        <v>#DIV/0!</v>
      </c>
      <c r="M41" s="69"/>
      <c r="N41" s="146">
        <f t="shared" si="15"/>
        <v>0</v>
      </c>
      <c r="O41" s="69"/>
      <c r="P41" s="146">
        <f t="shared" si="15"/>
        <v>0</v>
      </c>
      <c r="Q41" s="69"/>
      <c r="R41" s="146">
        <f t="shared" si="16"/>
        <v>0</v>
      </c>
      <c r="S41" s="69"/>
      <c r="T41" s="146">
        <f t="shared" si="17"/>
        <v>0</v>
      </c>
      <c r="U41" s="69"/>
      <c r="V41" s="146">
        <f t="shared" si="18"/>
        <v>0</v>
      </c>
      <c r="W41" s="69"/>
      <c r="X41" s="146">
        <f t="shared" si="19"/>
        <v>0</v>
      </c>
      <c r="Y41" s="69"/>
      <c r="Z41" s="146">
        <f t="shared" si="20"/>
        <v>0</v>
      </c>
      <c r="AA41" s="69"/>
      <c r="AB41" s="146">
        <f t="shared" si="21"/>
        <v>0</v>
      </c>
      <c r="AC41" s="19"/>
    </row>
    <row r="42" spans="1:29" ht="12.75" customHeight="1">
      <c r="A42" s="54"/>
      <c r="B42" s="1"/>
      <c r="C42" s="1"/>
      <c r="D42" s="55" t="s">
        <v>105</v>
      </c>
      <c r="E42" s="69"/>
      <c r="F42" s="146" t="e">
        <f t="shared" si="11"/>
        <v>#DIV/0!</v>
      </c>
      <c r="G42" s="69"/>
      <c r="H42" s="146" t="e">
        <f t="shared" si="12"/>
        <v>#DIV/0!</v>
      </c>
      <c r="I42" s="69"/>
      <c r="J42" s="146" t="e">
        <f t="shared" si="13"/>
        <v>#DIV/0!</v>
      </c>
      <c r="K42" s="69"/>
      <c r="L42" s="146" t="e">
        <f t="shared" si="14"/>
        <v>#DIV/0!</v>
      </c>
      <c r="M42" s="69">
        <v>65000</v>
      </c>
      <c r="N42" s="146">
        <f t="shared" si="15"/>
        <v>0.007280266215456226</v>
      </c>
      <c r="O42" s="69"/>
      <c r="P42" s="146">
        <f t="shared" si="15"/>
        <v>0</v>
      </c>
      <c r="Q42" s="69">
        <v>8000</v>
      </c>
      <c r="R42" s="146">
        <f t="shared" si="16"/>
        <v>0.0008992032143457623</v>
      </c>
      <c r="S42" s="69">
        <v>8000</v>
      </c>
      <c r="T42" s="146">
        <f t="shared" si="17"/>
        <v>0.0009037389740752682</v>
      </c>
      <c r="U42" s="69">
        <v>4000</v>
      </c>
      <c r="V42" s="146">
        <f t="shared" si="18"/>
        <v>0.00044987726678969543</v>
      </c>
      <c r="W42" s="69">
        <v>4000</v>
      </c>
      <c r="X42" s="146">
        <f t="shared" si="19"/>
        <v>0.0004488365237749924</v>
      </c>
      <c r="Y42" s="69">
        <v>4000</v>
      </c>
      <c r="Z42" s="146">
        <f t="shared" si="20"/>
        <v>0.00045003852532294095</v>
      </c>
      <c r="AA42" s="69"/>
      <c r="AB42" s="146">
        <f t="shared" si="21"/>
        <v>0</v>
      </c>
      <c r="AC42" s="19"/>
    </row>
    <row r="43" spans="1:29" ht="12.75" customHeight="1">
      <c r="A43" s="54"/>
      <c r="B43" s="1"/>
      <c r="C43" s="1"/>
      <c r="D43" s="55"/>
      <c r="E43" s="69"/>
      <c r="F43" s="146"/>
      <c r="G43" s="69"/>
      <c r="H43" s="146"/>
      <c r="I43" s="69"/>
      <c r="J43" s="146"/>
      <c r="K43" s="69"/>
      <c r="L43" s="146"/>
      <c r="M43" s="69"/>
      <c r="N43" s="146"/>
      <c r="O43" s="69"/>
      <c r="P43" s="146"/>
      <c r="Q43" s="69"/>
      <c r="R43" s="146"/>
      <c r="S43" s="69"/>
      <c r="T43" s="146"/>
      <c r="U43" s="69"/>
      <c r="V43" s="146"/>
      <c r="W43" s="69"/>
      <c r="X43" s="146"/>
      <c r="Y43" s="69"/>
      <c r="Z43" s="146"/>
      <c r="AA43" s="69"/>
      <c r="AB43" s="146"/>
      <c r="AC43" s="19"/>
    </row>
    <row r="44" spans="1:29" ht="12.75">
      <c r="A44" s="54"/>
      <c r="B44" s="1"/>
      <c r="C44" s="4" t="s">
        <v>11</v>
      </c>
      <c r="D44" s="57"/>
      <c r="E44" s="183">
        <f>SUM(E45:E69)</f>
        <v>0</v>
      </c>
      <c r="F44" s="147" t="e">
        <f aca="true" t="shared" si="22" ref="F44:F69">+E44/E$6</f>
        <v>#DIV/0!</v>
      </c>
      <c r="G44" s="183">
        <f>SUM(G45:G69)</f>
        <v>0</v>
      </c>
      <c r="H44" s="147" t="e">
        <f aca="true" t="shared" si="23" ref="H44:H69">+G44/G$6</f>
        <v>#DIV/0!</v>
      </c>
      <c r="I44" s="183">
        <f>SUM(I45:I69)</f>
        <v>0</v>
      </c>
      <c r="J44" s="147" t="e">
        <f aca="true" t="shared" si="24" ref="J44:J69">+I44/I$6</f>
        <v>#DIV/0!</v>
      </c>
      <c r="K44" s="183">
        <f>SUM(K45:K69)</f>
        <v>0</v>
      </c>
      <c r="L44" s="147" t="e">
        <f aca="true" t="shared" si="25" ref="L44:L69">+K44/K$6</f>
        <v>#DIV/0!</v>
      </c>
      <c r="M44" s="183">
        <f>SUM(M45:M69)</f>
        <v>7328934.34</v>
      </c>
      <c r="N44" s="147">
        <f aca="true" t="shared" si="26" ref="N44:P69">+M44/M$6</f>
        <v>0.8208706626276766</v>
      </c>
      <c r="O44" s="183">
        <f>SUM(O45:O69)</f>
        <v>7354584.3100000005</v>
      </c>
      <c r="P44" s="147">
        <f t="shared" si="26"/>
        <v>0.8323237185252902</v>
      </c>
      <c r="Q44" s="183">
        <f>SUM(Q45:Q69)</f>
        <v>7336116.92</v>
      </c>
      <c r="R44" s="147">
        <f aca="true" t="shared" si="27" ref="R44:R69">+Q44/Q$6</f>
        <v>0.8245824894100416</v>
      </c>
      <c r="S44" s="183">
        <f>SUM(S45:S69)</f>
        <v>7346914.92</v>
      </c>
      <c r="T44" s="147">
        <f aca="true" t="shared" si="28" ref="T44:T69">+S44/S$6</f>
        <v>0.8299616690523851</v>
      </c>
      <c r="U44" s="183">
        <f>SUM(U45:U69)</f>
        <v>7353342.469999999</v>
      </c>
      <c r="V44" s="147">
        <f aca="true" t="shared" si="29" ref="V44:V69">+U44/U$6</f>
        <v>0.8270254030430468</v>
      </c>
      <c r="W44" s="183">
        <f>SUM(W45:W69)</f>
        <v>7365516.4399999995</v>
      </c>
      <c r="X44" s="147">
        <f aca="true" t="shared" si="30" ref="X44:X69">+W44/W$6</f>
        <v>0.8264781986842892</v>
      </c>
      <c r="Y44" s="183">
        <f>SUM(Y45:Y69)</f>
        <v>7387608.84</v>
      </c>
      <c r="Z44" s="147">
        <f aca="true" t="shared" si="31" ref="Z44:Z69">+Y44/Y$6</f>
        <v>0.8311771470040806</v>
      </c>
      <c r="AA44" s="183">
        <f>SUM(AA45:AA69)</f>
        <v>7409941.989999999</v>
      </c>
      <c r="AB44" s="147">
        <f aca="true" t="shared" si="32" ref="AB44:AB69">+AA44/AA$6</f>
        <v>0.7968465009878984</v>
      </c>
      <c r="AC44" s="19"/>
    </row>
    <row r="45" spans="1:29" ht="12.75">
      <c r="A45" s="54"/>
      <c r="B45" s="1"/>
      <c r="C45" s="1"/>
      <c r="D45" s="55" t="s">
        <v>12</v>
      </c>
      <c r="E45" s="69"/>
      <c r="F45" s="146" t="e">
        <f t="shared" si="22"/>
        <v>#DIV/0!</v>
      </c>
      <c r="G45" s="69"/>
      <c r="H45" s="146" t="e">
        <f t="shared" si="23"/>
        <v>#DIV/0!</v>
      </c>
      <c r="I45" s="69"/>
      <c r="J45" s="146" t="e">
        <f t="shared" si="24"/>
        <v>#DIV/0!</v>
      </c>
      <c r="K45" s="69"/>
      <c r="L45" s="146" t="e">
        <f t="shared" si="25"/>
        <v>#DIV/0!</v>
      </c>
      <c r="M45" s="69">
        <v>896749.03</v>
      </c>
      <c r="N45" s="146">
        <f t="shared" si="26"/>
        <v>0.10043956410541757</v>
      </c>
      <c r="O45" s="69">
        <v>896219.03</v>
      </c>
      <c r="P45" s="146">
        <f t="shared" si="26"/>
        <v>0.1014257671434225</v>
      </c>
      <c r="Q45" s="69">
        <v>887634.03</v>
      </c>
      <c r="R45" s="146">
        <f t="shared" si="27"/>
        <v>0.09977042161733535</v>
      </c>
      <c r="S45" s="69">
        <v>887634.03</v>
      </c>
      <c r="T45" s="146">
        <f t="shared" si="28"/>
        <v>0.10027368345331197</v>
      </c>
      <c r="U45" s="69">
        <v>887634.03</v>
      </c>
      <c r="V45" s="146">
        <f t="shared" si="29"/>
        <v>0.09983159283148063</v>
      </c>
      <c r="W45" s="69">
        <v>887634.03</v>
      </c>
      <c r="X45" s="146">
        <f t="shared" si="30"/>
        <v>0.09960064310239683</v>
      </c>
      <c r="Y45" s="69">
        <v>887634.03</v>
      </c>
      <c r="Z45" s="146">
        <f t="shared" si="31"/>
        <v>0.09986737747191479</v>
      </c>
      <c r="AA45" s="69">
        <v>886064.03</v>
      </c>
      <c r="AB45" s="146">
        <f t="shared" si="32"/>
        <v>0.09528509439204616</v>
      </c>
      <c r="AC45" s="19"/>
    </row>
    <row r="46" spans="1:29" ht="12.75">
      <c r="A46" s="54"/>
      <c r="B46" s="1"/>
      <c r="C46" s="1"/>
      <c r="D46" s="55" t="s">
        <v>26</v>
      </c>
      <c r="E46" s="69"/>
      <c r="F46" s="146" t="e">
        <f t="shared" si="22"/>
        <v>#DIV/0!</v>
      </c>
      <c r="G46" s="69"/>
      <c r="H46" s="146" t="e">
        <f t="shared" si="23"/>
        <v>#DIV/0!</v>
      </c>
      <c r="I46" s="69"/>
      <c r="J46" s="146" t="e">
        <f t="shared" si="24"/>
        <v>#DIV/0!</v>
      </c>
      <c r="K46" s="69"/>
      <c r="L46" s="146" t="e">
        <f t="shared" si="25"/>
        <v>#DIV/0!</v>
      </c>
      <c r="M46" s="69">
        <v>208782.83</v>
      </c>
      <c r="N46" s="146">
        <f t="shared" si="26"/>
        <v>0.02338453205563601</v>
      </c>
      <c r="O46" s="69">
        <v>201170.96</v>
      </c>
      <c r="P46" s="146">
        <f t="shared" si="26"/>
        <v>0.02276666558283053</v>
      </c>
      <c r="Q46" s="69">
        <v>180917.02</v>
      </c>
      <c r="R46" s="146">
        <f t="shared" si="27"/>
        <v>0.020335145739232067</v>
      </c>
      <c r="S46" s="69">
        <v>180917.02</v>
      </c>
      <c r="T46" s="146">
        <f t="shared" si="28"/>
        <v>0.020437720255944345</v>
      </c>
      <c r="U46" s="69">
        <v>180219.02</v>
      </c>
      <c r="V46" s="146">
        <f t="shared" si="29"/>
        <v>0.020269110035279363</v>
      </c>
      <c r="W46" s="69">
        <v>180219.02</v>
      </c>
      <c r="X46" s="146">
        <f t="shared" si="30"/>
        <v>0.020222219613733956</v>
      </c>
      <c r="Y46" s="69">
        <v>180219.02</v>
      </c>
      <c r="Z46" s="146">
        <f t="shared" si="31"/>
        <v>0.0202763754989864</v>
      </c>
      <c r="AA46" s="69">
        <v>180219.02</v>
      </c>
      <c r="AB46" s="146">
        <f t="shared" si="32"/>
        <v>0.019380299561355688</v>
      </c>
      <c r="AC46" s="19"/>
    </row>
    <row r="47" spans="1:29" ht="13.5" customHeight="1">
      <c r="A47" s="54"/>
      <c r="B47" s="1"/>
      <c r="C47" s="1"/>
      <c r="D47" s="55" t="s">
        <v>13</v>
      </c>
      <c r="E47" s="69"/>
      <c r="F47" s="146" t="e">
        <f t="shared" si="22"/>
        <v>#DIV/0!</v>
      </c>
      <c r="G47" s="69"/>
      <c r="H47" s="146" t="e">
        <f t="shared" si="23"/>
        <v>#DIV/0!</v>
      </c>
      <c r="I47" s="69"/>
      <c r="J47" s="146" t="e">
        <f t="shared" si="24"/>
        <v>#DIV/0!</v>
      </c>
      <c r="K47" s="69"/>
      <c r="L47" s="146" t="e">
        <f t="shared" si="25"/>
        <v>#DIV/0!</v>
      </c>
      <c r="M47" s="69">
        <v>1073390.84</v>
      </c>
      <c r="N47" s="146">
        <f t="shared" si="26"/>
        <v>0.120224170283572</v>
      </c>
      <c r="O47" s="69">
        <v>1073390.84</v>
      </c>
      <c r="P47" s="146">
        <f t="shared" si="26"/>
        <v>0.12147643126002655</v>
      </c>
      <c r="Q47" s="69">
        <v>1073390.84</v>
      </c>
      <c r="R47" s="146">
        <f t="shared" si="27"/>
        <v>0.12064956169716223</v>
      </c>
      <c r="S47" s="69">
        <v>1073390.84</v>
      </c>
      <c r="T47" s="146">
        <f t="shared" si="28"/>
        <v>0.1212581420654238</v>
      </c>
      <c r="U47" s="69">
        <v>1073390.84</v>
      </c>
      <c r="V47" s="146">
        <f t="shared" si="29"/>
        <v>0.12072353432407383</v>
      </c>
      <c r="W47" s="69">
        <v>1073390.84</v>
      </c>
      <c r="X47" s="146">
        <f t="shared" si="30"/>
        <v>0.12044425331937976</v>
      </c>
      <c r="Y47" s="69">
        <v>1073390.84</v>
      </c>
      <c r="Z47" s="146">
        <f t="shared" si="31"/>
        <v>0.12076680768218823</v>
      </c>
      <c r="AA47" s="69">
        <v>1073390.84</v>
      </c>
      <c r="AB47" s="146">
        <f t="shared" si="32"/>
        <v>0.11542974779030103</v>
      </c>
      <c r="AC47" s="19"/>
    </row>
    <row r="48" spans="1:29" ht="11.25" customHeight="1">
      <c r="A48" s="54"/>
      <c r="B48" s="1"/>
      <c r="C48" s="1"/>
      <c r="D48" s="55" t="s">
        <v>54</v>
      </c>
      <c r="E48" s="69"/>
      <c r="F48" s="146" t="e">
        <f t="shared" si="22"/>
        <v>#DIV/0!</v>
      </c>
      <c r="G48" s="69"/>
      <c r="H48" s="146" t="e">
        <f t="shared" si="23"/>
        <v>#DIV/0!</v>
      </c>
      <c r="I48" s="69"/>
      <c r="J48" s="146" t="e">
        <f t="shared" si="24"/>
        <v>#DIV/0!</v>
      </c>
      <c r="K48" s="69"/>
      <c r="L48" s="146" t="e">
        <f t="shared" si="25"/>
        <v>#DIV/0!</v>
      </c>
      <c r="M48" s="69">
        <v>43915.25</v>
      </c>
      <c r="N48" s="146">
        <f t="shared" si="26"/>
        <v>0.004918687860281754</v>
      </c>
      <c r="O48" s="69">
        <v>43915.25</v>
      </c>
      <c r="P48" s="146">
        <f t="shared" si="26"/>
        <v>0.004969921159278647</v>
      </c>
      <c r="Q48" s="69">
        <v>43915.25</v>
      </c>
      <c r="R48" s="146">
        <f t="shared" si="27"/>
        <v>0.004936091744849717</v>
      </c>
      <c r="S48" s="69">
        <v>43915.25</v>
      </c>
      <c r="T48" s="146">
        <f t="shared" si="28"/>
        <v>0.004960990372657365</v>
      </c>
      <c r="U48" s="69">
        <v>43915.25</v>
      </c>
      <c r="V48" s="146">
        <f t="shared" si="29"/>
        <v>0.004939118160096543</v>
      </c>
      <c r="W48" s="69">
        <v>43915.25</v>
      </c>
      <c r="X48" s="146">
        <f t="shared" si="30"/>
        <v>0.004927692037677433</v>
      </c>
      <c r="Y48" s="69">
        <v>43915.25</v>
      </c>
      <c r="Z48" s="146">
        <f t="shared" si="31"/>
        <v>0.00494088858729707</v>
      </c>
      <c r="AA48" s="69">
        <v>43915.25</v>
      </c>
      <c r="AB48" s="146">
        <f t="shared" si="32"/>
        <v>0.004722535392278937</v>
      </c>
      <c r="AC48" s="19"/>
    </row>
    <row r="49" spans="1:29" ht="11.25" customHeight="1">
      <c r="A49" s="54"/>
      <c r="B49" s="1"/>
      <c r="C49" s="1"/>
      <c r="D49" s="55" t="s">
        <v>66</v>
      </c>
      <c r="E49" s="69"/>
      <c r="F49" s="146" t="e">
        <f t="shared" si="22"/>
        <v>#DIV/0!</v>
      </c>
      <c r="G49" s="69"/>
      <c r="H49" s="146" t="e">
        <f t="shared" si="23"/>
        <v>#DIV/0!</v>
      </c>
      <c r="I49" s="69"/>
      <c r="J49" s="146" t="e">
        <f t="shared" si="24"/>
        <v>#DIV/0!</v>
      </c>
      <c r="K49" s="69"/>
      <c r="L49" s="146" t="e">
        <f t="shared" si="25"/>
        <v>#DIV/0!</v>
      </c>
      <c r="M49" s="69">
        <v>2891648.96</v>
      </c>
      <c r="N49" s="146">
        <f t="shared" si="26"/>
        <v>0.32387652662226357</v>
      </c>
      <c r="O49" s="69">
        <v>2891648.96</v>
      </c>
      <c r="P49" s="146">
        <f t="shared" si="26"/>
        <v>0.32725004073778685</v>
      </c>
      <c r="Q49" s="69">
        <v>2891648.96</v>
      </c>
      <c r="R49" s="146">
        <f t="shared" si="27"/>
        <v>0.3250225049489476</v>
      </c>
      <c r="S49" s="69">
        <v>2891648.96</v>
      </c>
      <c r="T49" s="146">
        <f t="shared" si="28"/>
        <v>0.32666198306202704</v>
      </c>
      <c r="U49" s="69">
        <v>2891648.96</v>
      </c>
      <c r="V49" s="146">
        <f t="shared" si="29"/>
        <v>0.32522178266001633</v>
      </c>
      <c r="W49" s="69">
        <v>2891648.96</v>
      </c>
      <c r="X49" s="146">
        <f t="shared" si="30"/>
        <v>0.324469416795993</v>
      </c>
      <c r="Y49" s="69">
        <v>2891648.96</v>
      </c>
      <c r="Z49" s="146">
        <f t="shared" si="31"/>
        <v>0.32533835842750397</v>
      </c>
      <c r="AA49" s="69">
        <v>2891648.96</v>
      </c>
      <c r="AB49" s="146">
        <f t="shared" si="32"/>
        <v>0.3109606470564685</v>
      </c>
      <c r="AC49" s="19"/>
    </row>
    <row r="50" spans="1:29" ht="12" customHeight="1">
      <c r="A50" s="54"/>
      <c r="B50" s="1"/>
      <c r="C50" s="1"/>
      <c r="D50" s="55" t="s">
        <v>122</v>
      </c>
      <c r="E50" s="69"/>
      <c r="F50" s="146" t="e">
        <f t="shared" si="22"/>
        <v>#DIV/0!</v>
      </c>
      <c r="G50" s="69"/>
      <c r="H50" s="146" t="e">
        <f t="shared" si="23"/>
        <v>#DIV/0!</v>
      </c>
      <c r="I50" s="69"/>
      <c r="J50" s="146" t="e">
        <f t="shared" si="24"/>
        <v>#DIV/0!</v>
      </c>
      <c r="K50" s="69"/>
      <c r="L50" s="146" t="e">
        <f t="shared" si="25"/>
        <v>#DIV/0!</v>
      </c>
      <c r="M50" s="69">
        <v>367193.96</v>
      </c>
      <c r="N50" s="146">
        <f t="shared" si="26"/>
        <v>0.041127227407809004</v>
      </c>
      <c r="O50" s="69">
        <v>367193.96</v>
      </c>
      <c r="P50" s="146">
        <f t="shared" si="26"/>
        <v>0.04155561066744052</v>
      </c>
      <c r="Q50" s="69">
        <v>367193.96</v>
      </c>
      <c r="R50" s="146">
        <f t="shared" si="27"/>
        <v>0.041272748640043655</v>
      </c>
      <c r="S50" s="69">
        <v>367193.96</v>
      </c>
      <c r="T50" s="146">
        <f t="shared" si="28"/>
        <v>0.04148093658712938</v>
      </c>
      <c r="U50" s="69">
        <v>367193.96</v>
      </c>
      <c r="V50" s="146">
        <f t="shared" si="29"/>
        <v>0.04129805377662119</v>
      </c>
      <c r="W50" s="69">
        <v>367193.96</v>
      </c>
      <c r="X50" s="146">
        <f t="shared" si="30"/>
        <v>0.0412025151393934</v>
      </c>
      <c r="Y50" s="69">
        <v>367193.96</v>
      </c>
      <c r="Z50" s="146">
        <f t="shared" si="31"/>
        <v>0.041312857066472745</v>
      </c>
      <c r="AA50" s="69">
        <v>367193.96</v>
      </c>
      <c r="AB50" s="146">
        <f t="shared" si="32"/>
        <v>0.03948711374593236</v>
      </c>
      <c r="AC50" s="19"/>
    </row>
    <row r="51" spans="1:29" ht="12.75" hidden="1">
      <c r="A51" s="54"/>
      <c r="B51" s="1"/>
      <c r="C51" s="1"/>
      <c r="D51" s="55" t="s">
        <v>68</v>
      </c>
      <c r="E51" s="69"/>
      <c r="F51" s="146" t="e">
        <f t="shared" si="22"/>
        <v>#DIV/0!</v>
      </c>
      <c r="G51" s="69"/>
      <c r="H51" s="146" t="e">
        <f t="shared" si="23"/>
        <v>#DIV/0!</v>
      </c>
      <c r="I51" s="69"/>
      <c r="J51" s="146" t="e">
        <f t="shared" si="24"/>
        <v>#DIV/0!</v>
      </c>
      <c r="K51" s="69"/>
      <c r="L51" s="146" t="e">
        <f t="shared" si="25"/>
        <v>#DIV/0!</v>
      </c>
      <c r="M51" s="69"/>
      <c r="N51" s="146">
        <f t="shared" si="26"/>
        <v>0</v>
      </c>
      <c r="O51" s="69"/>
      <c r="P51" s="146">
        <f t="shared" si="26"/>
        <v>0</v>
      </c>
      <c r="Q51" s="69"/>
      <c r="R51" s="146">
        <f t="shared" si="27"/>
        <v>0</v>
      </c>
      <c r="S51" s="69"/>
      <c r="T51" s="146">
        <f t="shared" si="28"/>
        <v>0</v>
      </c>
      <c r="U51" s="69"/>
      <c r="V51" s="146">
        <f t="shared" si="29"/>
        <v>0</v>
      </c>
      <c r="W51" s="69"/>
      <c r="X51" s="146">
        <f t="shared" si="30"/>
        <v>0</v>
      </c>
      <c r="Y51" s="69"/>
      <c r="Z51" s="146">
        <f t="shared" si="31"/>
        <v>0</v>
      </c>
      <c r="AA51" s="69"/>
      <c r="AB51" s="146">
        <f t="shared" si="32"/>
        <v>0</v>
      </c>
      <c r="AC51" s="19"/>
    </row>
    <row r="52" spans="1:28" ht="12.75" hidden="1">
      <c r="A52" s="54"/>
      <c r="B52" s="1"/>
      <c r="C52" s="1"/>
      <c r="D52" s="55" t="s">
        <v>69</v>
      </c>
      <c r="E52" s="69"/>
      <c r="F52" s="146" t="e">
        <f t="shared" si="22"/>
        <v>#DIV/0!</v>
      </c>
      <c r="G52" s="69"/>
      <c r="H52" s="146" t="e">
        <f t="shared" si="23"/>
        <v>#DIV/0!</v>
      </c>
      <c r="I52" s="69"/>
      <c r="J52" s="146" t="e">
        <f t="shared" si="24"/>
        <v>#DIV/0!</v>
      </c>
      <c r="K52" s="69"/>
      <c r="L52" s="146" t="e">
        <f t="shared" si="25"/>
        <v>#DIV/0!</v>
      </c>
      <c r="M52" s="69"/>
      <c r="N52" s="146">
        <f t="shared" si="26"/>
        <v>0</v>
      </c>
      <c r="O52" s="69"/>
      <c r="P52" s="146">
        <f t="shared" si="26"/>
        <v>0</v>
      </c>
      <c r="Q52" s="69"/>
      <c r="R52" s="146">
        <f t="shared" si="27"/>
        <v>0</v>
      </c>
      <c r="S52" s="69"/>
      <c r="T52" s="146">
        <f t="shared" si="28"/>
        <v>0</v>
      </c>
      <c r="U52" s="69"/>
      <c r="V52" s="146">
        <f t="shared" si="29"/>
        <v>0</v>
      </c>
      <c r="W52" s="69"/>
      <c r="X52" s="146">
        <f t="shared" si="30"/>
        <v>0</v>
      </c>
      <c r="Y52" s="69"/>
      <c r="Z52" s="146">
        <f t="shared" si="31"/>
        <v>0</v>
      </c>
      <c r="AA52" s="69"/>
      <c r="AB52" s="146">
        <f t="shared" si="32"/>
        <v>0</v>
      </c>
    </row>
    <row r="53" spans="1:28" ht="12.75" hidden="1">
      <c r="A53" s="54"/>
      <c r="B53" s="1"/>
      <c r="C53" s="1"/>
      <c r="D53" s="55" t="s">
        <v>70</v>
      </c>
      <c r="E53" s="69"/>
      <c r="F53" s="146" t="e">
        <f t="shared" si="22"/>
        <v>#DIV/0!</v>
      </c>
      <c r="G53" s="69"/>
      <c r="H53" s="146" t="e">
        <f t="shared" si="23"/>
        <v>#DIV/0!</v>
      </c>
      <c r="I53" s="69"/>
      <c r="J53" s="146" t="e">
        <f t="shared" si="24"/>
        <v>#DIV/0!</v>
      </c>
      <c r="K53" s="69"/>
      <c r="L53" s="146" t="e">
        <f t="shared" si="25"/>
        <v>#DIV/0!</v>
      </c>
      <c r="M53" s="69"/>
      <c r="N53" s="146">
        <f t="shared" si="26"/>
        <v>0</v>
      </c>
      <c r="O53" s="69"/>
      <c r="P53" s="146">
        <f t="shared" si="26"/>
        <v>0</v>
      </c>
      <c r="Q53" s="69"/>
      <c r="R53" s="146">
        <f t="shared" si="27"/>
        <v>0</v>
      </c>
      <c r="S53" s="69"/>
      <c r="T53" s="146">
        <f t="shared" si="28"/>
        <v>0</v>
      </c>
      <c r="U53" s="69"/>
      <c r="V53" s="146">
        <f t="shared" si="29"/>
        <v>0</v>
      </c>
      <c r="W53" s="69"/>
      <c r="X53" s="146">
        <f t="shared" si="30"/>
        <v>0</v>
      </c>
      <c r="Y53" s="69"/>
      <c r="Z53" s="146">
        <f t="shared" si="31"/>
        <v>0</v>
      </c>
      <c r="AA53" s="69"/>
      <c r="AB53" s="146">
        <f t="shared" si="32"/>
        <v>0</v>
      </c>
    </row>
    <row r="54" spans="1:28" ht="12" customHeight="1">
      <c r="A54" s="54"/>
      <c r="B54" s="1"/>
      <c r="C54" s="1"/>
      <c r="D54" s="55" t="s">
        <v>123</v>
      </c>
      <c r="E54" s="69"/>
      <c r="F54" s="146" t="e">
        <f t="shared" si="22"/>
        <v>#DIV/0!</v>
      </c>
      <c r="G54" s="69"/>
      <c r="H54" s="146" t="e">
        <f t="shared" si="23"/>
        <v>#DIV/0!</v>
      </c>
      <c r="I54" s="69"/>
      <c r="J54" s="146" t="e">
        <f t="shared" si="24"/>
        <v>#DIV/0!</v>
      </c>
      <c r="K54" s="69"/>
      <c r="L54" s="146" t="e">
        <f t="shared" si="25"/>
        <v>#DIV/0!</v>
      </c>
      <c r="M54" s="69">
        <v>91891</v>
      </c>
      <c r="N54" s="146">
        <f t="shared" si="26"/>
        <v>0.01029216835083828</v>
      </c>
      <c r="O54" s="69">
        <v>91891</v>
      </c>
      <c r="P54" s="146">
        <f t="shared" si="26"/>
        <v>0.010399372091637282</v>
      </c>
      <c r="Q54" s="69">
        <v>91891</v>
      </c>
      <c r="R54" s="146">
        <f t="shared" si="27"/>
        <v>0.010328585321180805</v>
      </c>
      <c r="S54" s="69">
        <v>91891</v>
      </c>
      <c r="T54" s="146">
        <f t="shared" si="28"/>
        <v>0.010380684758343809</v>
      </c>
      <c r="U54" s="69">
        <v>91891</v>
      </c>
      <c r="V54" s="146">
        <f t="shared" si="29"/>
        <v>0.010334917980642976</v>
      </c>
      <c r="W54" s="69">
        <v>91891</v>
      </c>
      <c r="X54" s="146">
        <f t="shared" si="30"/>
        <v>0.010311009251551956</v>
      </c>
      <c r="Y54" s="69">
        <v>91891</v>
      </c>
      <c r="Z54" s="146">
        <f t="shared" si="31"/>
        <v>0.010338622532612592</v>
      </c>
      <c r="AA54" s="69">
        <v>91891</v>
      </c>
      <c r="AB54" s="146">
        <f t="shared" si="32"/>
        <v>0.009881726728913161</v>
      </c>
    </row>
    <row r="55" spans="1:28" ht="11.25" customHeight="1" hidden="1">
      <c r="A55" s="54"/>
      <c r="B55" s="1"/>
      <c r="C55" s="1"/>
      <c r="D55" s="55" t="s">
        <v>72</v>
      </c>
      <c r="E55" s="69"/>
      <c r="F55" s="146" t="e">
        <f t="shared" si="22"/>
        <v>#DIV/0!</v>
      </c>
      <c r="G55" s="69"/>
      <c r="H55" s="146" t="e">
        <f t="shared" si="23"/>
        <v>#DIV/0!</v>
      </c>
      <c r="I55" s="69"/>
      <c r="J55" s="146" t="e">
        <f t="shared" si="24"/>
        <v>#DIV/0!</v>
      </c>
      <c r="K55" s="69"/>
      <c r="L55" s="146" t="e">
        <f t="shared" si="25"/>
        <v>#DIV/0!</v>
      </c>
      <c r="M55" s="69"/>
      <c r="N55" s="146">
        <f t="shared" si="26"/>
        <v>0</v>
      </c>
      <c r="O55" s="69"/>
      <c r="P55" s="146">
        <f t="shared" si="26"/>
        <v>0</v>
      </c>
      <c r="Q55" s="69"/>
      <c r="R55" s="146">
        <f t="shared" si="27"/>
        <v>0</v>
      </c>
      <c r="S55" s="69"/>
      <c r="T55" s="146">
        <f t="shared" si="28"/>
        <v>0</v>
      </c>
      <c r="U55" s="69"/>
      <c r="V55" s="146">
        <f t="shared" si="29"/>
        <v>0</v>
      </c>
      <c r="W55" s="69"/>
      <c r="X55" s="146">
        <f t="shared" si="30"/>
        <v>0</v>
      </c>
      <c r="Y55" s="69"/>
      <c r="Z55" s="146">
        <f t="shared" si="31"/>
        <v>0</v>
      </c>
      <c r="AA55" s="69"/>
      <c r="AB55" s="146">
        <f t="shared" si="32"/>
        <v>0</v>
      </c>
    </row>
    <row r="56" spans="1:28" ht="12.75" hidden="1">
      <c r="A56" s="54"/>
      <c r="B56" s="1"/>
      <c r="C56" s="1"/>
      <c r="D56" s="55" t="s">
        <v>73</v>
      </c>
      <c r="E56" s="69"/>
      <c r="F56" s="146" t="e">
        <f t="shared" si="22"/>
        <v>#DIV/0!</v>
      </c>
      <c r="G56" s="69"/>
      <c r="H56" s="146" t="e">
        <f t="shared" si="23"/>
        <v>#DIV/0!</v>
      </c>
      <c r="I56" s="69"/>
      <c r="J56" s="146" t="e">
        <f t="shared" si="24"/>
        <v>#DIV/0!</v>
      </c>
      <c r="K56" s="69"/>
      <c r="L56" s="146" t="e">
        <f t="shared" si="25"/>
        <v>#DIV/0!</v>
      </c>
      <c r="M56" s="69"/>
      <c r="N56" s="146">
        <f t="shared" si="26"/>
        <v>0</v>
      </c>
      <c r="O56" s="69"/>
      <c r="P56" s="146">
        <f t="shared" si="26"/>
        <v>0</v>
      </c>
      <c r="Q56" s="69"/>
      <c r="R56" s="146">
        <f t="shared" si="27"/>
        <v>0</v>
      </c>
      <c r="S56" s="69"/>
      <c r="T56" s="146">
        <f t="shared" si="28"/>
        <v>0</v>
      </c>
      <c r="U56" s="69"/>
      <c r="V56" s="146">
        <f t="shared" si="29"/>
        <v>0</v>
      </c>
      <c r="W56" s="69"/>
      <c r="X56" s="146">
        <f t="shared" si="30"/>
        <v>0</v>
      </c>
      <c r="Y56" s="69"/>
      <c r="Z56" s="146">
        <f t="shared" si="31"/>
        <v>0</v>
      </c>
      <c r="AA56" s="69"/>
      <c r="AB56" s="146">
        <f t="shared" si="32"/>
        <v>0</v>
      </c>
    </row>
    <row r="57" spans="1:28" ht="12.75" hidden="1">
      <c r="A57" s="54"/>
      <c r="B57" s="1"/>
      <c r="C57" s="1"/>
      <c r="D57" s="55" t="s">
        <v>74</v>
      </c>
      <c r="E57" s="69"/>
      <c r="F57" s="146" t="e">
        <f t="shared" si="22"/>
        <v>#DIV/0!</v>
      </c>
      <c r="G57" s="69"/>
      <c r="H57" s="146" t="e">
        <f t="shared" si="23"/>
        <v>#DIV/0!</v>
      </c>
      <c r="I57" s="69"/>
      <c r="J57" s="146" t="e">
        <f t="shared" si="24"/>
        <v>#DIV/0!</v>
      </c>
      <c r="K57" s="69"/>
      <c r="L57" s="146" t="e">
        <f t="shared" si="25"/>
        <v>#DIV/0!</v>
      </c>
      <c r="M57" s="69"/>
      <c r="N57" s="146">
        <f t="shared" si="26"/>
        <v>0</v>
      </c>
      <c r="O57" s="69"/>
      <c r="P57" s="146">
        <f t="shared" si="26"/>
        <v>0</v>
      </c>
      <c r="Q57" s="69"/>
      <c r="R57" s="146">
        <f t="shared" si="27"/>
        <v>0</v>
      </c>
      <c r="S57" s="69"/>
      <c r="T57" s="146">
        <f t="shared" si="28"/>
        <v>0</v>
      </c>
      <c r="U57" s="69"/>
      <c r="V57" s="146">
        <f t="shared" si="29"/>
        <v>0</v>
      </c>
      <c r="W57" s="69"/>
      <c r="X57" s="146">
        <f t="shared" si="30"/>
        <v>0</v>
      </c>
      <c r="Y57" s="69"/>
      <c r="Z57" s="146">
        <f t="shared" si="31"/>
        <v>0</v>
      </c>
      <c r="AA57" s="69"/>
      <c r="AB57" s="146">
        <f t="shared" si="32"/>
        <v>0</v>
      </c>
    </row>
    <row r="58" spans="1:28" ht="12.75" hidden="1">
      <c r="A58" s="54"/>
      <c r="B58" s="1"/>
      <c r="C58" s="1"/>
      <c r="D58" s="55" t="s">
        <v>75</v>
      </c>
      <c r="E58" s="69"/>
      <c r="F58" s="146" t="e">
        <f t="shared" si="22"/>
        <v>#DIV/0!</v>
      </c>
      <c r="G58" s="69"/>
      <c r="H58" s="146" t="e">
        <f t="shared" si="23"/>
        <v>#DIV/0!</v>
      </c>
      <c r="I58" s="69"/>
      <c r="J58" s="146" t="e">
        <f t="shared" si="24"/>
        <v>#DIV/0!</v>
      </c>
      <c r="K58" s="69"/>
      <c r="L58" s="146" t="e">
        <f t="shared" si="25"/>
        <v>#DIV/0!</v>
      </c>
      <c r="M58" s="69"/>
      <c r="N58" s="146">
        <f t="shared" si="26"/>
        <v>0</v>
      </c>
      <c r="O58" s="69"/>
      <c r="P58" s="146">
        <f t="shared" si="26"/>
        <v>0</v>
      </c>
      <c r="Q58" s="69"/>
      <c r="R58" s="146">
        <f t="shared" si="27"/>
        <v>0</v>
      </c>
      <c r="S58" s="69"/>
      <c r="T58" s="146">
        <f t="shared" si="28"/>
        <v>0</v>
      </c>
      <c r="U58" s="69"/>
      <c r="V58" s="146">
        <f t="shared" si="29"/>
        <v>0</v>
      </c>
      <c r="W58" s="69"/>
      <c r="X58" s="146">
        <f t="shared" si="30"/>
        <v>0</v>
      </c>
      <c r="Y58" s="69"/>
      <c r="Z58" s="146">
        <f t="shared" si="31"/>
        <v>0</v>
      </c>
      <c r="AA58" s="69"/>
      <c r="AB58" s="146">
        <f t="shared" si="32"/>
        <v>0</v>
      </c>
    </row>
    <row r="59" spans="1:28" ht="12" customHeight="1">
      <c r="A59" s="54"/>
      <c r="B59" s="1"/>
      <c r="C59" s="1"/>
      <c r="D59" s="55" t="s">
        <v>93</v>
      </c>
      <c r="E59" s="69"/>
      <c r="F59" s="146" t="e">
        <f t="shared" si="22"/>
        <v>#DIV/0!</v>
      </c>
      <c r="G59" s="69"/>
      <c r="H59" s="146" t="e">
        <f t="shared" si="23"/>
        <v>#DIV/0!</v>
      </c>
      <c r="I59" s="69"/>
      <c r="J59" s="146" t="e">
        <f t="shared" si="24"/>
        <v>#DIV/0!</v>
      </c>
      <c r="K59" s="69"/>
      <c r="L59" s="146" t="e">
        <f t="shared" si="25"/>
        <v>#DIV/0!</v>
      </c>
      <c r="M59" s="69">
        <v>1008853.01</v>
      </c>
      <c r="N59" s="146">
        <f t="shared" si="26"/>
        <v>0.11299566900098958</v>
      </c>
      <c r="O59" s="69">
        <v>1008853.01</v>
      </c>
      <c r="P59" s="146">
        <f t="shared" si="26"/>
        <v>0.1141726375462044</v>
      </c>
      <c r="Q59" s="69">
        <v>1008853.01</v>
      </c>
      <c r="R59" s="146">
        <f t="shared" si="27"/>
        <v>0.11339548367429968</v>
      </c>
      <c r="S59" s="69">
        <v>1008853.01</v>
      </c>
      <c r="T59" s="146">
        <f t="shared" si="28"/>
        <v>0.11396747303126828</v>
      </c>
      <c r="U59" s="69">
        <v>1008853.01</v>
      </c>
      <c r="V59" s="146">
        <f t="shared" si="29"/>
        <v>0.11346500868283932</v>
      </c>
      <c r="W59" s="69">
        <v>1008853.01</v>
      </c>
      <c r="X59" s="146">
        <f t="shared" si="30"/>
        <v>0.1132025195020844</v>
      </c>
      <c r="Y59" s="69">
        <v>1008853.01</v>
      </c>
      <c r="Z59" s="146">
        <f t="shared" si="31"/>
        <v>0.11350568022200255</v>
      </c>
      <c r="AA59" s="69">
        <v>1008853.01</v>
      </c>
      <c r="AB59" s="146">
        <f t="shared" si="32"/>
        <v>0.10848951207911</v>
      </c>
    </row>
    <row r="60" spans="1:28" ht="0.75" customHeight="1">
      <c r="A60" s="54"/>
      <c r="B60" s="1"/>
      <c r="C60" s="1"/>
      <c r="D60" s="55" t="s">
        <v>76</v>
      </c>
      <c r="E60" s="69"/>
      <c r="F60" s="146" t="e">
        <f t="shared" si="22"/>
        <v>#DIV/0!</v>
      </c>
      <c r="G60" s="69"/>
      <c r="H60" s="146" t="e">
        <f t="shared" si="23"/>
        <v>#DIV/0!</v>
      </c>
      <c r="I60" s="69"/>
      <c r="J60" s="146" t="e">
        <f t="shared" si="24"/>
        <v>#DIV/0!</v>
      </c>
      <c r="K60" s="69"/>
      <c r="L60" s="146" t="e">
        <f t="shared" si="25"/>
        <v>#DIV/0!</v>
      </c>
      <c r="M60" s="69"/>
      <c r="N60" s="146">
        <f t="shared" si="26"/>
        <v>0</v>
      </c>
      <c r="O60" s="69"/>
      <c r="P60" s="146">
        <f t="shared" si="26"/>
        <v>0</v>
      </c>
      <c r="Q60" s="69"/>
      <c r="R60" s="146">
        <f t="shared" si="27"/>
        <v>0</v>
      </c>
      <c r="S60" s="69"/>
      <c r="T60" s="146">
        <f t="shared" si="28"/>
        <v>0</v>
      </c>
      <c r="U60" s="69"/>
      <c r="V60" s="146">
        <f t="shared" si="29"/>
        <v>0</v>
      </c>
      <c r="W60" s="69"/>
      <c r="X60" s="146">
        <f t="shared" si="30"/>
        <v>0</v>
      </c>
      <c r="Y60" s="69"/>
      <c r="Z60" s="146">
        <f t="shared" si="31"/>
        <v>0</v>
      </c>
      <c r="AA60" s="69"/>
      <c r="AB60" s="146">
        <f t="shared" si="32"/>
        <v>0</v>
      </c>
    </row>
    <row r="61" spans="1:28" ht="12.75" hidden="1">
      <c r="A61" s="54"/>
      <c r="B61" s="1"/>
      <c r="C61" s="1"/>
      <c r="D61" s="55" t="s">
        <v>77</v>
      </c>
      <c r="E61" s="69"/>
      <c r="F61" s="146" t="e">
        <f t="shared" si="22"/>
        <v>#DIV/0!</v>
      </c>
      <c r="G61" s="69"/>
      <c r="H61" s="146" t="e">
        <f t="shared" si="23"/>
        <v>#DIV/0!</v>
      </c>
      <c r="I61" s="69"/>
      <c r="J61" s="146" t="e">
        <f t="shared" si="24"/>
        <v>#DIV/0!</v>
      </c>
      <c r="K61" s="69"/>
      <c r="L61" s="146" t="e">
        <f t="shared" si="25"/>
        <v>#DIV/0!</v>
      </c>
      <c r="M61" s="69"/>
      <c r="N61" s="146">
        <f t="shared" si="26"/>
        <v>0</v>
      </c>
      <c r="O61" s="69"/>
      <c r="P61" s="146">
        <f t="shared" si="26"/>
        <v>0</v>
      </c>
      <c r="Q61" s="69"/>
      <c r="R61" s="146">
        <f t="shared" si="27"/>
        <v>0</v>
      </c>
      <c r="S61" s="69"/>
      <c r="T61" s="146">
        <f t="shared" si="28"/>
        <v>0</v>
      </c>
      <c r="U61" s="69"/>
      <c r="V61" s="146">
        <f t="shared" si="29"/>
        <v>0</v>
      </c>
      <c r="W61" s="69"/>
      <c r="X61" s="146">
        <f t="shared" si="30"/>
        <v>0</v>
      </c>
      <c r="Y61" s="69"/>
      <c r="Z61" s="146">
        <f t="shared" si="31"/>
        <v>0</v>
      </c>
      <c r="AA61" s="69"/>
      <c r="AB61" s="146">
        <f t="shared" si="32"/>
        <v>0</v>
      </c>
    </row>
    <row r="62" spans="1:28" ht="12.75" hidden="1">
      <c r="A62" s="54"/>
      <c r="B62" s="1"/>
      <c r="C62" s="1"/>
      <c r="D62" s="55" t="s">
        <v>78</v>
      </c>
      <c r="E62" s="69"/>
      <c r="F62" s="146" t="e">
        <f t="shared" si="22"/>
        <v>#DIV/0!</v>
      </c>
      <c r="G62" s="69"/>
      <c r="H62" s="146" t="e">
        <f t="shared" si="23"/>
        <v>#DIV/0!</v>
      </c>
      <c r="I62" s="69"/>
      <c r="J62" s="146" t="e">
        <f t="shared" si="24"/>
        <v>#DIV/0!</v>
      </c>
      <c r="K62" s="69"/>
      <c r="L62" s="146" t="e">
        <f t="shared" si="25"/>
        <v>#DIV/0!</v>
      </c>
      <c r="M62" s="69"/>
      <c r="N62" s="146">
        <f t="shared" si="26"/>
        <v>0</v>
      </c>
      <c r="O62" s="69"/>
      <c r="P62" s="146">
        <f t="shared" si="26"/>
        <v>0</v>
      </c>
      <c r="Q62" s="69"/>
      <c r="R62" s="146">
        <f t="shared" si="27"/>
        <v>0</v>
      </c>
      <c r="S62" s="69"/>
      <c r="T62" s="146">
        <f t="shared" si="28"/>
        <v>0</v>
      </c>
      <c r="U62" s="69"/>
      <c r="V62" s="146">
        <f t="shared" si="29"/>
        <v>0</v>
      </c>
      <c r="W62" s="69"/>
      <c r="X62" s="146">
        <f t="shared" si="30"/>
        <v>0</v>
      </c>
      <c r="Y62" s="69"/>
      <c r="Z62" s="146">
        <f t="shared" si="31"/>
        <v>0</v>
      </c>
      <c r="AA62" s="69"/>
      <c r="AB62" s="146">
        <f t="shared" si="32"/>
        <v>0</v>
      </c>
    </row>
    <row r="63" spans="1:28" ht="12.75" hidden="1">
      <c r="A63" s="54"/>
      <c r="B63" s="1"/>
      <c r="C63" s="1"/>
      <c r="D63" s="55" t="s">
        <v>79</v>
      </c>
      <c r="E63" s="69"/>
      <c r="F63" s="146" t="e">
        <f t="shared" si="22"/>
        <v>#DIV/0!</v>
      </c>
      <c r="G63" s="69"/>
      <c r="H63" s="146" t="e">
        <f t="shared" si="23"/>
        <v>#DIV/0!</v>
      </c>
      <c r="I63" s="69"/>
      <c r="J63" s="146" t="e">
        <f t="shared" si="24"/>
        <v>#DIV/0!</v>
      </c>
      <c r="K63" s="69"/>
      <c r="L63" s="146" t="e">
        <f t="shared" si="25"/>
        <v>#DIV/0!</v>
      </c>
      <c r="M63" s="69"/>
      <c r="N63" s="146">
        <f t="shared" si="26"/>
        <v>0</v>
      </c>
      <c r="O63" s="69"/>
      <c r="P63" s="146">
        <f t="shared" si="26"/>
        <v>0</v>
      </c>
      <c r="Q63" s="69"/>
      <c r="R63" s="146">
        <f t="shared" si="27"/>
        <v>0</v>
      </c>
      <c r="S63" s="69"/>
      <c r="T63" s="146">
        <f t="shared" si="28"/>
        <v>0</v>
      </c>
      <c r="U63" s="69"/>
      <c r="V63" s="146">
        <f t="shared" si="29"/>
        <v>0</v>
      </c>
      <c r="W63" s="69"/>
      <c r="X63" s="146">
        <f t="shared" si="30"/>
        <v>0</v>
      </c>
      <c r="Y63" s="69"/>
      <c r="Z63" s="146">
        <f t="shared" si="31"/>
        <v>0</v>
      </c>
      <c r="AA63" s="69"/>
      <c r="AB63" s="146">
        <f t="shared" si="32"/>
        <v>0</v>
      </c>
    </row>
    <row r="64" spans="1:28" ht="12.75" hidden="1">
      <c r="A64" s="54"/>
      <c r="B64" s="1"/>
      <c r="C64" s="1"/>
      <c r="D64" s="55" t="s">
        <v>80</v>
      </c>
      <c r="E64" s="69"/>
      <c r="F64" s="146" t="e">
        <f t="shared" si="22"/>
        <v>#DIV/0!</v>
      </c>
      <c r="G64" s="69"/>
      <c r="H64" s="146" t="e">
        <f t="shared" si="23"/>
        <v>#DIV/0!</v>
      </c>
      <c r="I64" s="69"/>
      <c r="J64" s="146" t="e">
        <f t="shared" si="24"/>
        <v>#DIV/0!</v>
      </c>
      <c r="K64" s="69"/>
      <c r="L64" s="146" t="e">
        <f t="shared" si="25"/>
        <v>#DIV/0!</v>
      </c>
      <c r="M64" s="69"/>
      <c r="N64" s="146">
        <f t="shared" si="26"/>
        <v>0</v>
      </c>
      <c r="O64" s="69"/>
      <c r="P64" s="146">
        <f t="shared" si="26"/>
        <v>0</v>
      </c>
      <c r="Q64" s="69"/>
      <c r="R64" s="146">
        <f t="shared" si="27"/>
        <v>0</v>
      </c>
      <c r="S64" s="69"/>
      <c r="T64" s="146">
        <f t="shared" si="28"/>
        <v>0</v>
      </c>
      <c r="U64" s="69"/>
      <c r="V64" s="146">
        <f t="shared" si="29"/>
        <v>0</v>
      </c>
      <c r="W64" s="69"/>
      <c r="X64" s="146">
        <f t="shared" si="30"/>
        <v>0</v>
      </c>
      <c r="Y64" s="69"/>
      <c r="Z64" s="146">
        <f t="shared" si="31"/>
        <v>0</v>
      </c>
      <c r="AA64" s="69"/>
      <c r="AB64" s="146">
        <f t="shared" si="32"/>
        <v>0</v>
      </c>
    </row>
    <row r="65" spans="1:28" ht="12.75" hidden="1">
      <c r="A65" s="54"/>
      <c r="B65" s="1"/>
      <c r="C65" s="1"/>
      <c r="D65" s="55" t="s">
        <v>81</v>
      </c>
      <c r="E65" s="69"/>
      <c r="F65" s="146" t="e">
        <f t="shared" si="22"/>
        <v>#DIV/0!</v>
      </c>
      <c r="G65" s="69"/>
      <c r="H65" s="146" t="e">
        <f t="shared" si="23"/>
        <v>#DIV/0!</v>
      </c>
      <c r="I65" s="69"/>
      <c r="J65" s="146" t="e">
        <f t="shared" si="24"/>
        <v>#DIV/0!</v>
      </c>
      <c r="K65" s="69"/>
      <c r="L65" s="146" t="e">
        <f t="shared" si="25"/>
        <v>#DIV/0!</v>
      </c>
      <c r="M65" s="69"/>
      <c r="N65" s="146">
        <f t="shared" si="26"/>
        <v>0</v>
      </c>
      <c r="O65" s="69"/>
      <c r="P65" s="146">
        <f t="shared" si="26"/>
        <v>0</v>
      </c>
      <c r="Q65" s="69"/>
      <c r="R65" s="146">
        <f t="shared" si="27"/>
        <v>0</v>
      </c>
      <c r="S65" s="69"/>
      <c r="T65" s="146">
        <f t="shared" si="28"/>
        <v>0</v>
      </c>
      <c r="U65" s="69"/>
      <c r="V65" s="146">
        <f t="shared" si="29"/>
        <v>0</v>
      </c>
      <c r="W65" s="69"/>
      <c r="X65" s="146">
        <f t="shared" si="30"/>
        <v>0</v>
      </c>
      <c r="Y65" s="69"/>
      <c r="Z65" s="146">
        <f t="shared" si="31"/>
        <v>0</v>
      </c>
      <c r="AA65" s="69"/>
      <c r="AB65" s="146">
        <f t="shared" si="32"/>
        <v>0</v>
      </c>
    </row>
    <row r="66" spans="1:28" ht="12.75" hidden="1">
      <c r="A66" s="54"/>
      <c r="B66" s="1"/>
      <c r="C66" s="1"/>
      <c r="D66" s="55" t="s">
        <v>94</v>
      </c>
      <c r="E66" s="69"/>
      <c r="F66" s="146" t="e">
        <f t="shared" si="22"/>
        <v>#DIV/0!</v>
      </c>
      <c r="G66" s="69"/>
      <c r="H66" s="146" t="e">
        <f t="shared" si="23"/>
        <v>#DIV/0!</v>
      </c>
      <c r="I66" s="69"/>
      <c r="J66" s="146" t="e">
        <f t="shared" si="24"/>
        <v>#DIV/0!</v>
      </c>
      <c r="K66" s="69"/>
      <c r="L66" s="146" t="e">
        <f t="shared" si="25"/>
        <v>#DIV/0!</v>
      </c>
      <c r="M66" s="69"/>
      <c r="N66" s="146">
        <f t="shared" si="26"/>
        <v>0</v>
      </c>
      <c r="O66" s="69"/>
      <c r="P66" s="146">
        <f t="shared" si="26"/>
        <v>0</v>
      </c>
      <c r="Q66" s="69"/>
      <c r="R66" s="146">
        <f t="shared" si="27"/>
        <v>0</v>
      </c>
      <c r="S66" s="69"/>
      <c r="T66" s="146">
        <f t="shared" si="28"/>
        <v>0</v>
      </c>
      <c r="U66" s="69"/>
      <c r="V66" s="146">
        <f t="shared" si="29"/>
        <v>0</v>
      </c>
      <c r="W66" s="69"/>
      <c r="X66" s="146">
        <f t="shared" si="30"/>
        <v>0</v>
      </c>
      <c r="Y66" s="69"/>
      <c r="Z66" s="146">
        <f t="shared" si="31"/>
        <v>0</v>
      </c>
      <c r="AA66" s="69"/>
      <c r="AB66" s="146">
        <f t="shared" si="32"/>
        <v>0</v>
      </c>
    </row>
    <row r="67" spans="1:28" ht="12.75" customHeight="1">
      <c r="A67" s="54"/>
      <c r="B67" s="1"/>
      <c r="C67" s="1"/>
      <c r="D67" s="55" t="s">
        <v>124</v>
      </c>
      <c r="E67" s="69"/>
      <c r="F67" s="146" t="e">
        <f t="shared" si="22"/>
        <v>#DIV/0!</v>
      </c>
      <c r="G67" s="69"/>
      <c r="H67" s="146" t="e">
        <f t="shared" si="23"/>
        <v>#DIV/0!</v>
      </c>
      <c r="I67" s="69"/>
      <c r="J67" s="146" t="e">
        <f t="shared" si="24"/>
        <v>#DIV/0!</v>
      </c>
      <c r="K67" s="69"/>
      <c r="L67" s="146" t="e">
        <f t="shared" si="25"/>
        <v>#DIV/0!</v>
      </c>
      <c r="M67" s="69">
        <v>300000</v>
      </c>
      <c r="N67" s="146">
        <f t="shared" si="26"/>
        <v>0.033601228686721045</v>
      </c>
      <c r="O67" s="69">
        <v>300000</v>
      </c>
      <c r="P67" s="146">
        <f t="shared" si="26"/>
        <v>0.03395122076689975</v>
      </c>
      <c r="Q67" s="69">
        <v>300000</v>
      </c>
      <c r="R67" s="146">
        <f t="shared" si="27"/>
        <v>0.03372012053796608</v>
      </c>
      <c r="S67" s="69">
        <v>300000</v>
      </c>
      <c r="T67" s="146">
        <f t="shared" si="28"/>
        <v>0.03389021152782255</v>
      </c>
      <c r="U67" s="69">
        <v>300000</v>
      </c>
      <c r="V67" s="146">
        <f t="shared" si="29"/>
        <v>0.03374079500922716</v>
      </c>
      <c r="W67" s="69">
        <v>300000</v>
      </c>
      <c r="X67" s="146">
        <f t="shared" si="30"/>
        <v>0.03366273928312443</v>
      </c>
      <c r="Y67" s="69">
        <v>300000</v>
      </c>
      <c r="Z67" s="146">
        <f t="shared" si="31"/>
        <v>0.033752889399220574</v>
      </c>
      <c r="AA67" s="69">
        <v>300000</v>
      </c>
      <c r="AB67" s="146">
        <f t="shared" si="32"/>
        <v>0.032261244503530795</v>
      </c>
    </row>
    <row r="68" spans="1:28" ht="11.25" customHeight="1">
      <c r="A68" s="54"/>
      <c r="B68" s="1"/>
      <c r="C68" s="1"/>
      <c r="D68" s="55" t="s">
        <v>125</v>
      </c>
      <c r="E68" s="69"/>
      <c r="F68" s="146" t="e">
        <f t="shared" si="22"/>
        <v>#DIV/0!</v>
      </c>
      <c r="G68" s="69"/>
      <c r="H68" s="146" t="e">
        <f t="shared" si="23"/>
        <v>#DIV/0!</v>
      </c>
      <c r="I68" s="69"/>
      <c r="J68" s="146" t="e">
        <f t="shared" si="24"/>
        <v>#DIV/0!</v>
      </c>
      <c r="K68" s="69"/>
      <c r="L68" s="146" t="e">
        <f t="shared" si="25"/>
        <v>#DIV/0!</v>
      </c>
      <c r="M68" s="69">
        <v>1515817.03</v>
      </c>
      <c r="N68" s="146">
        <f t="shared" si="26"/>
        <v>0.16977771557418767</v>
      </c>
      <c r="O68" s="69">
        <v>1512152.03</v>
      </c>
      <c r="P68" s="146">
        <f t="shared" si="26"/>
        <v>0.17113135801215204</v>
      </c>
      <c r="Q68" s="69">
        <v>1485198.02</v>
      </c>
      <c r="R68" s="146">
        <f t="shared" si="27"/>
        <v>0.1669368541904952</v>
      </c>
      <c r="S68" s="69">
        <v>1459079.57</v>
      </c>
      <c r="T68" s="146">
        <f t="shared" si="28"/>
        <v>0.16482838421074794</v>
      </c>
      <c r="U68" s="69">
        <v>1442290.34</v>
      </c>
      <c r="V68" s="146">
        <f t="shared" si="29"/>
        <v>0.16221340901909514</v>
      </c>
      <c r="W68" s="69">
        <f>1428750.41+1810.75</f>
        <v>1430561.16</v>
      </c>
      <c r="X68" s="146">
        <f t="shared" si="30"/>
        <v>0.16052202452548014</v>
      </c>
      <c r="Y68" s="69">
        <v>1428750.41</v>
      </c>
      <c r="Z68" s="146">
        <f t="shared" si="31"/>
        <v>0.16074818189273682</v>
      </c>
      <c r="AA68" s="69">
        <v>1428750.41</v>
      </c>
      <c r="AB68" s="146">
        <f t="shared" si="32"/>
        <v>0.1536442210384329</v>
      </c>
    </row>
    <row r="69" spans="1:28" ht="15" customHeight="1">
      <c r="A69" s="54"/>
      <c r="B69" s="1"/>
      <c r="C69" s="1"/>
      <c r="D69" s="55" t="s">
        <v>14</v>
      </c>
      <c r="E69" s="69"/>
      <c r="F69" s="146" t="e">
        <f t="shared" si="22"/>
        <v>#DIV/0!</v>
      </c>
      <c r="G69" s="69"/>
      <c r="H69" s="146" t="e">
        <f t="shared" si="23"/>
        <v>#DIV/0!</v>
      </c>
      <c r="I69" s="69"/>
      <c r="J69" s="146" t="e">
        <f t="shared" si="24"/>
        <v>#DIV/0!</v>
      </c>
      <c r="K69" s="69"/>
      <c r="L69" s="146" t="e">
        <f t="shared" si="25"/>
        <v>#DIV/0!</v>
      </c>
      <c r="M69" s="69">
        <f>-1030302.56-39005.01</f>
        <v>-1069307.57</v>
      </c>
      <c r="N69" s="146">
        <f t="shared" si="26"/>
        <v>-0.11976682732003992</v>
      </c>
      <c r="O69" s="69">
        <f>-1005847.39-26003.34</f>
        <v>-1031850.73</v>
      </c>
      <c r="P69" s="146">
        <f t="shared" si="26"/>
        <v>-0.11677530644238888</v>
      </c>
      <c r="Q69" s="69">
        <f>-981523.5-13001.67</f>
        <v>-994525.17</v>
      </c>
      <c r="R69" s="146">
        <f t="shared" si="27"/>
        <v>-0.11178502870147071</v>
      </c>
      <c r="S69" s="69">
        <v>-957608.72</v>
      </c>
      <c r="T69" s="146">
        <f t="shared" si="28"/>
        <v>-0.10817854027229133</v>
      </c>
      <c r="U69" s="69">
        <v>-933693.94</v>
      </c>
      <c r="V69" s="146">
        <f t="shared" si="29"/>
        <v>-0.10501191943632546</v>
      </c>
      <c r="W69" s="69">
        <v>-909790.79</v>
      </c>
      <c r="X69" s="146">
        <f t="shared" si="30"/>
        <v>-0.10208683388652602</v>
      </c>
      <c r="Y69" s="69">
        <v>-885887.64</v>
      </c>
      <c r="Z69" s="146">
        <f t="shared" si="31"/>
        <v>-0.0996708917768551</v>
      </c>
      <c r="AA69" s="69">
        <v>-861984.49</v>
      </c>
      <c r="AB69" s="146">
        <f t="shared" si="32"/>
        <v>-0.09269564130047099</v>
      </c>
    </row>
    <row r="70" spans="1:28" ht="14.25" customHeight="1">
      <c r="A70" s="54"/>
      <c r="B70" s="1"/>
      <c r="C70" s="1"/>
      <c r="D70" s="55"/>
      <c r="E70" s="184"/>
      <c r="F70" s="146"/>
      <c r="G70" s="184"/>
      <c r="H70" s="146"/>
      <c r="I70" s="184"/>
      <c r="J70" s="146"/>
      <c r="K70" s="184"/>
      <c r="L70" s="146"/>
      <c r="M70" s="184"/>
      <c r="N70" s="146"/>
      <c r="O70" s="184"/>
      <c r="P70" s="146"/>
      <c r="Q70" s="184"/>
      <c r="R70" s="146"/>
      <c r="S70" s="184"/>
      <c r="T70" s="146"/>
      <c r="U70" s="184"/>
      <c r="V70" s="146"/>
      <c r="W70" s="184"/>
      <c r="X70" s="146"/>
      <c r="Y70" s="184"/>
      <c r="Z70" s="146"/>
      <c r="AA70" s="184"/>
      <c r="AB70" s="146"/>
    </row>
    <row r="71" spans="1:28" ht="13.5" customHeight="1">
      <c r="A71" s="54"/>
      <c r="B71" s="1"/>
      <c r="C71" s="4" t="s">
        <v>82</v>
      </c>
      <c r="D71" s="55"/>
      <c r="E71" s="70">
        <f>SUM(E72:E76)</f>
        <v>0</v>
      </c>
      <c r="F71" s="147" t="e">
        <f aca="true" t="shared" si="33" ref="F71:F76">+E71/E$6</f>
        <v>#DIV/0!</v>
      </c>
      <c r="G71" s="70">
        <f>SUM(G72:G76)</f>
        <v>0</v>
      </c>
      <c r="H71" s="147" t="e">
        <f aca="true" t="shared" si="34" ref="H71:H76">+G71/G$6</f>
        <v>#DIV/0!</v>
      </c>
      <c r="I71" s="70">
        <f>SUM(I72:I76)</f>
        <v>0</v>
      </c>
      <c r="J71" s="147" t="e">
        <f aca="true" t="shared" si="35" ref="J71:J76">+I71/I$6</f>
        <v>#DIV/0!</v>
      </c>
      <c r="K71" s="70">
        <f>SUM(K72:K76)</f>
        <v>0</v>
      </c>
      <c r="L71" s="147" t="e">
        <f aca="true" t="shared" si="36" ref="L71:L76">+K71/K$6</f>
        <v>#DIV/0!</v>
      </c>
      <c r="M71" s="70">
        <f>SUM(M72:M76)</f>
        <v>50989.81</v>
      </c>
      <c r="N71" s="147">
        <f aca="true" t="shared" si="37" ref="N71:P76">+M71/M$6</f>
        <v>0.0057110675550081855</v>
      </c>
      <c r="O71" s="70">
        <f>SUM(O72:O76)</f>
        <v>51883.32</v>
      </c>
      <c r="P71" s="147">
        <f t="shared" si="37"/>
        <v>0.005871673504799017</v>
      </c>
      <c r="Q71" s="70">
        <f>SUM(Q72:Q76)</f>
        <v>49176.829999999994</v>
      </c>
      <c r="R71" s="147">
        <f aca="true" t="shared" si="38" ref="R71:R76">+Q71/Q$6</f>
        <v>0.005527495450916888</v>
      </c>
      <c r="S71" s="70">
        <f>SUM(S72:S76)</f>
        <v>50010.34</v>
      </c>
      <c r="T71" s="147">
        <f aca="true" t="shared" si="39" ref="T71:T76">+S71/S$6</f>
        <v>0.005649536670594418</v>
      </c>
      <c r="U71" s="70">
        <f>SUM(U72:U76)</f>
        <v>50010.34</v>
      </c>
      <c r="V71" s="147">
        <f aca="true" t="shared" si="40" ref="V71:V76">+U71/U$6</f>
        <v>0.005624628767605844</v>
      </c>
      <c r="W71" s="70">
        <f>SUM(W72:W76)</f>
        <v>50010.34</v>
      </c>
      <c r="X71" s="147">
        <f aca="true" t="shared" si="41" ref="X71:X76">+W71/W$6</f>
        <v>0.005611616789601362</v>
      </c>
      <c r="Y71" s="70">
        <f>SUM(Y72:Y76)</f>
        <v>50010.34</v>
      </c>
      <c r="Z71" s="147">
        <f aca="true" t="shared" si="42" ref="Z71:Z76">+Y71/Y$6</f>
        <v>0.005626644916124721</v>
      </c>
      <c r="AA71" s="70">
        <f>SUM(AA72:AA76)</f>
        <v>50010.34</v>
      </c>
      <c r="AB71" s="147">
        <f aca="true" t="shared" si="43" ref="AB71:AB76">+AA71/AA$6</f>
        <v>0.0053779860214823545</v>
      </c>
    </row>
    <row r="72" spans="1:28" ht="13.5" customHeight="1" hidden="1">
      <c r="A72" s="54"/>
      <c r="B72" s="1"/>
      <c r="C72" s="1"/>
      <c r="D72" s="55" t="s">
        <v>126</v>
      </c>
      <c r="E72" s="69"/>
      <c r="F72" s="146" t="e">
        <f t="shared" si="33"/>
        <v>#DIV/0!</v>
      </c>
      <c r="G72" s="69"/>
      <c r="H72" s="146" t="e">
        <f t="shared" si="34"/>
        <v>#DIV/0!</v>
      </c>
      <c r="I72" s="69"/>
      <c r="J72" s="146" t="e">
        <f t="shared" si="35"/>
        <v>#DIV/0!</v>
      </c>
      <c r="K72" s="69"/>
      <c r="L72" s="146" t="e">
        <f t="shared" si="36"/>
        <v>#DIV/0!</v>
      </c>
      <c r="M72" s="69"/>
      <c r="N72" s="146">
        <f t="shared" si="37"/>
        <v>0</v>
      </c>
      <c r="O72" s="69"/>
      <c r="P72" s="146">
        <f t="shared" si="37"/>
        <v>0</v>
      </c>
      <c r="Q72" s="69"/>
      <c r="R72" s="146">
        <f t="shared" si="38"/>
        <v>0</v>
      </c>
      <c r="S72" s="69"/>
      <c r="T72" s="146">
        <f t="shared" si="39"/>
        <v>0</v>
      </c>
      <c r="U72" s="69"/>
      <c r="V72" s="146">
        <f t="shared" si="40"/>
        <v>0</v>
      </c>
      <c r="W72" s="69"/>
      <c r="X72" s="146">
        <f t="shared" si="41"/>
        <v>0</v>
      </c>
      <c r="Y72" s="69"/>
      <c r="Z72" s="146">
        <f t="shared" si="42"/>
        <v>0</v>
      </c>
      <c r="AA72" s="69"/>
      <c r="AB72" s="146">
        <f t="shared" si="43"/>
        <v>0</v>
      </c>
    </row>
    <row r="73" spans="1:28" ht="13.5" customHeight="1">
      <c r="A73" s="54"/>
      <c r="B73" s="1"/>
      <c r="C73" s="1"/>
      <c r="D73" s="55" t="s">
        <v>127</v>
      </c>
      <c r="E73" s="69"/>
      <c r="F73" s="146" t="e">
        <f t="shared" si="33"/>
        <v>#DIV/0!</v>
      </c>
      <c r="G73" s="69"/>
      <c r="H73" s="146" t="e">
        <f t="shared" si="34"/>
        <v>#DIV/0!</v>
      </c>
      <c r="I73" s="69"/>
      <c r="J73" s="146" t="e">
        <f t="shared" si="35"/>
        <v>#DIV/0!</v>
      </c>
      <c r="K73" s="69"/>
      <c r="L73" s="146" t="e">
        <f t="shared" si="36"/>
        <v>#DIV/0!</v>
      </c>
      <c r="M73" s="69">
        <v>53610.34</v>
      </c>
      <c r="N73" s="146">
        <f t="shared" si="37"/>
        <v>0.006004577647709562</v>
      </c>
      <c r="O73" s="69">
        <v>53610.34</v>
      </c>
      <c r="P73" s="146">
        <f t="shared" si="37"/>
        <v>0.006067121629095187</v>
      </c>
      <c r="Q73" s="69">
        <v>50010.34</v>
      </c>
      <c r="R73" s="146">
        <f t="shared" si="38"/>
        <v>0.005621182309815556</v>
      </c>
      <c r="S73" s="69">
        <v>50010.34</v>
      </c>
      <c r="T73" s="146">
        <f t="shared" si="39"/>
        <v>0.005649536670594418</v>
      </c>
      <c r="U73" s="69">
        <v>50010.34</v>
      </c>
      <c r="V73" s="146">
        <f t="shared" si="40"/>
        <v>0.005624628767605844</v>
      </c>
      <c r="W73" s="69">
        <v>50010.34</v>
      </c>
      <c r="X73" s="146">
        <f t="shared" si="41"/>
        <v>0.005611616789601362</v>
      </c>
      <c r="Y73" s="69">
        <v>50010.34</v>
      </c>
      <c r="Z73" s="146">
        <f t="shared" si="42"/>
        <v>0.005626644916124721</v>
      </c>
      <c r="AA73" s="184">
        <f>49610.34+400</f>
        <v>50010.34</v>
      </c>
      <c r="AB73" s="146">
        <f t="shared" si="43"/>
        <v>0.0053779860214823545</v>
      </c>
    </row>
    <row r="74" spans="1:28" ht="13.5" customHeight="1" hidden="1">
      <c r="A74" s="54"/>
      <c r="B74" s="1"/>
      <c r="C74" s="1"/>
      <c r="D74" s="55" t="s">
        <v>128</v>
      </c>
      <c r="E74" s="69"/>
      <c r="F74" s="146" t="e">
        <f t="shared" si="33"/>
        <v>#DIV/0!</v>
      </c>
      <c r="G74" s="69"/>
      <c r="H74" s="146" t="e">
        <f t="shared" si="34"/>
        <v>#DIV/0!</v>
      </c>
      <c r="I74" s="69"/>
      <c r="J74" s="146" t="e">
        <f t="shared" si="35"/>
        <v>#DIV/0!</v>
      </c>
      <c r="K74" s="69"/>
      <c r="L74" s="146" t="e">
        <f t="shared" si="36"/>
        <v>#DIV/0!</v>
      </c>
      <c r="M74" s="69"/>
      <c r="N74" s="146">
        <f t="shared" si="37"/>
        <v>0</v>
      </c>
      <c r="O74" s="69"/>
      <c r="P74" s="146">
        <f t="shared" si="37"/>
        <v>0</v>
      </c>
      <c r="Q74" s="69"/>
      <c r="R74" s="146">
        <f t="shared" si="38"/>
        <v>0</v>
      </c>
      <c r="S74" s="69"/>
      <c r="T74" s="146">
        <f t="shared" si="39"/>
        <v>0</v>
      </c>
      <c r="U74" s="69"/>
      <c r="V74" s="146">
        <f t="shared" si="40"/>
        <v>0</v>
      </c>
      <c r="W74" s="69"/>
      <c r="X74" s="146">
        <f t="shared" si="41"/>
        <v>0</v>
      </c>
      <c r="Y74" s="69"/>
      <c r="Z74" s="146">
        <f t="shared" si="42"/>
        <v>0</v>
      </c>
      <c r="AA74" s="69">
        <v>0</v>
      </c>
      <c r="AB74" s="146">
        <f t="shared" si="43"/>
        <v>0</v>
      </c>
    </row>
    <row r="75" spans="1:28" ht="13.5" customHeight="1">
      <c r="A75" s="54"/>
      <c r="B75" s="1"/>
      <c r="C75" s="1"/>
      <c r="D75" s="55" t="s">
        <v>297</v>
      </c>
      <c r="E75" s="69"/>
      <c r="F75" s="146" t="e">
        <f t="shared" si="33"/>
        <v>#DIV/0!</v>
      </c>
      <c r="G75" s="69"/>
      <c r="H75" s="146" t="e">
        <f t="shared" si="34"/>
        <v>#DIV/0!</v>
      </c>
      <c r="I75" s="69"/>
      <c r="J75" s="146" t="e">
        <f t="shared" si="35"/>
        <v>#DIV/0!</v>
      </c>
      <c r="K75" s="69"/>
      <c r="L75" s="146" t="e">
        <f t="shared" si="36"/>
        <v>#DIV/0!</v>
      </c>
      <c r="M75" s="69">
        <v>-2620.53</v>
      </c>
      <c r="N75" s="146">
        <f t="shared" si="37"/>
        <v>-0.00029351009270137704</v>
      </c>
      <c r="O75" s="69">
        <v>-1727.02</v>
      </c>
      <c r="P75" s="146">
        <f t="shared" si="37"/>
        <v>-0.00019544812429617066</v>
      </c>
      <c r="Q75" s="69">
        <v>-833.51</v>
      </c>
      <c r="R75" s="146">
        <f t="shared" si="38"/>
        <v>-9.368685889866703E-05</v>
      </c>
      <c r="S75" s="69"/>
      <c r="T75" s="146">
        <f t="shared" si="39"/>
        <v>0</v>
      </c>
      <c r="U75" s="69"/>
      <c r="V75" s="146">
        <f t="shared" si="40"/>
        <v>0</v>
      </c>
      <c r="W75" s="69"/>
      <c r="X75" s="146">
        <f t="shared" si="41"/>
        <v>0</v>
      </c>
      <c r="Y75" s="69"/>
      <c r="Z75" s="146">
        <f t="shared" si="42"/>
        <v>0</v>
      </c>
      <c r="AA75" s="69">
        <v>0</v>
      </c>
      <c r="AB75" s="146">
        <f t="shared" si="43"/>
        <v>0</v>
      </c>
    </row>
    <row r="76" spans="1:28" ht="13.5" customHeight="1" hidden="1">
      <c r="A76" s="54"/>
      <c r="B76" s="1"/>
      <c r="C76" s="1"/>
      <c r="D76" s="55" t="s">
        <v>129</v>
      </c>
      <c r="E76" s="69"/>
      <c r="F76" s="146" t="e">
        <f t="shared" si="33"/>
        <v>#DIV/0!</v>
      </c>
      <c r="G76" s="69"/>
      <c r="H76" s="146" t="e">
        <f t="shared" si="34"/>
        <v>#DIV/0!</v>
      </c>
      <c r="I76" s="69"/>
      <c r="J76" s="146" t="e">
        <f t="shared" si="35"/>
        <v>#DIV/0!</v>
      </c>
      <c r="K76" s="69"/>
      <c r="L76" s="146" t="e">
        <f t="shared" si="36"/>
        <v>#DIV/0!</v>
      </c>
      <c r="M76" s="69"/>
      <c r="N76" s="146">
        <f t="shared" si="37"/>
        <v>0</v>
      </c>
      <c r="O76" s="69"/>
      <c r="P76" s="146">
        <f t="shared" si="37"/>
        <v>0</v>
      </c>
      <c r="Q76" s="69"/>
      <c r="R76" s="146">
        <f t="shared" si="38"/>
        <v>0</v>
      </c>
      <c r="S76" s="69"/>
      <c r="T76" s="146">
        <f t="shared" si="39"/>
        <v>0</v>
      </c>
      <c r="U76" s="69"/>
      <c r="V76" s="146">
        <f t="shared" si="40"/>
        <v>0</v>
      </c>
      <c r="W76" s="69"/>
      <c r="X76" s="146">
        <f t="shared" si="41"/>
        <v>0</v>
      </c>
      <c r="Y76" s="69"/>
      <c r="Z76" s="146">
        <f t="shared" si="42"/>
        <v>0</v>
      </c>
      <c r="AA76" s="69">
        <v>0</v>
      </c>
      <c r="AB76" s="146">
        <f t="shared" si="43"/>
        <v>0</v>
      </c>
    </row>
    <row r="77" spans="1:28" ht="1.5" customHeight="1">
      <c r="A77" s="60"/>
      <c r="B77" s="61"/>
      <c r="C77" s="61"/>
      <c r="D77" s="62"/>
      <c r="E77" s="196"/>
      <c r="F77" s="187"/>
      <c r="G77" s="196"/>
      <c r="H77" s="187"/>
      <c r="I77" s="196"/>
      <c r="J77" s="187"/>
      <c r="K77" s="196"/>
      <c r="L77" s="187"/>
      <c r="M77" s="196"/>
      <c r="N77" s="187"/>
      <c r="O77" s="196"/>
      <c r="P77" s="187"/>
      <c r="Q77" s="196"/>
      <c r="R77" s="187"/>
      <c r="S77" s="196"/>
      <c r="T77" s="187"/>
      <c r="U77" s="196"/>
      <c r="V77" s="187"/>
      <c r="W77" s="196"/>
      <c r="X77" s="187"/>
      <c r="Y77" s="196"/>
      <c r="Z77" s="187"/>
      <c r="AA77" s="196"/>
      <c r="AB77" s="187"/>
    </row>
    <row r="78" spans="1:28" ht="12.75" customHeight="1">
      <c r="A78" s="54"/>
      <c r="B78" s="1"/>
      <c r="C78" s="1"/>
      <c r="D78" s="55"/>
      <c r="E78" s="69"/>
      <c r="F78" s="182"/>
      <c r="G78" s="69"/>
      <c r="H78" s="182"/>
      <c r="I78" s="69"/>
      <c r="J78" s="182"/>
      <c r="K78" s="69"/>
      <c r="L78" s="182"/>
      <c r="M78" s="69"/>
      <c r="N78" s="182"/>
      <c r="O78" s="242"/>
      <c r="P78" s="182"/>
      <c r="Q78" s="242"/>
      <c r="R78" s="182"/>
      <c r="S78" s="242"/>
      <c r="T78" s="182"/>
      <c r="U78" s="242"/>
      <c r="V78" s="182"/>
      <c r="W78" s="242"/>
      <c r="X78" s="182"/>
      <c r="Y78" s="69"/>
      <c r="Z78" s="182"/>
      <c r="AA78" s="242"/>
      <c r="AB78" s="182"/>
    </row>
    <row r="79" spans="1:28" ht="15">
      <c r="A79" s="56" t="s">
        <v>15</v>
      </c>
      <c r="B79" s="4"/>
      <c r="C79" s="4"/>
      <c r="D79" s="57"/>
      <c r="E79" s="70">
        <f>E81+E98+E102</f>
        <v>0</v>
      </c>
      <c r="F79" s="147" t="e">
        <f>+E79/E$6</f>
        <v>#DIV/0!</v>
      </c>
      <c r="G79" s="70">
        <f>G81+G98+G102</f>
        <v>0</v>
      </c>
      <c r="H79" s="147" t="e">
        <f>+G79/G$6</f>
        <v>#DIV/0!</v>
      </c>
      <c r="I79" s="70">
        <f>I81+I98+I102</f>
        <v>0</v>
      </c>
      <c r="J79" s="147" t="e">
        <f>+I79/I$6</f>
        <v>#DIV/0!</v>
      </c>
      <c r="K79" s="70">
        <f>K81+K98+K102</f>
        <v>0</v>
      </c>
      <c r="L79" s="147" t="e">
        <f>+K79/K$6</f>
        <v>#DIV/0!</v>
      </c>
      <c r="M79" s="70">
        <f>M81+M98+M102</f>
        <v>8928244.94</v>
      </c>
      <c r="N79" s="147">
        <f>+M79/M$6</f>
        <v>1</v>
      </c>
      <c r="O79" s="70">
        <f>O81+O98+O102</f>
        <v>8836206.57</v>
      </c>
      <c r="P79" s="147">
        <f>+O79/O$6</f>
        <v>1</v>
      </c>
      <c r="Q79" s="70">
        <f>Q81+Q98+Q102</f>
        <v>8896765.35</v>
      </c>
      <c r="R79" s="147">
        <f>+Q79/Q$6</f>
        <v>1</v>
      </c>
      <c r="S79" s="70">
        <f>S81+S98+S102</f>
        <v>8852113.53</v>
      </c>
      <c r="T79" s="147">
        <f>+S79/S$6</f>
        <v>1</v>
      </c>
      <c r="U79" s="70">
        <f>U81+U98+U102</f>
        <v>8891313.91</v>
      </c>
      <c r="V79" s="147">
        <f>+U79/U$6</f>
        <v>1</v>
      </c>
      <c r="W79" s="70">
        <f>W81+W98+W102</f>
        <v>8911930.709999999</v>
      </c>
      <c r="X79" s="147">
        <f>+W79/W$6</f>
        <v>0.9999999999999998</v>
      </c>
      <c r="Y79" s="70">
        <f>Y81+Y98+Y102</f>
        <v>8888127.96</v>
      </c>
      <c r="Z79" s="147">
        <f>+Y79/Y$6</f>
        <v>1</v>
      </c>
      <c r="AA79" s="70">
        <f>AA81+AA98+AA102</f>
        <v>9299083.3</v>
      </c>
      <c r="AB79" s="147">
        <f>+AA79/AA$6</f>
        <v>1.0000000000000002</v>
      </c>
    </row>
    <row r="80" spans="1:32" ht="9" customHeight="1">
      <c r="A80" s="56"/>
      <c r="B80" s="4"/>
      <c r="C80" s="4"/>
      <c r="D80" s="57"/>
      <c r="E80" s="70"/>
      <c r="F80" s="185"/>
      <c r="G80" s="70"/>
      <c r="H80" s="185"/>
      <c r="I80" s="70"/>
      <c r="J80" s="185"/>
      <c r="K80" s="70"/>
      <c r="L80" s="185"/>
      <c r="M80" s="70"/>
      <c r="N80" s="185"/>
      <c r="O80" s="70"/>
      <c r="P80" s="185"/>
      <c r="Q80" s="70"/>
      <c r="R80" s="185"/>
      <c r="S80" s="70"/>
      <c r="T80" s="185"/>
      <c r="U80" s="70"/>
      <c r="V80" s="185"/>
      <c r="W80" s="70"/>
      <c r="X80" s="185"/>
      <c r="Y80" s="70"/>
      <c r="Z80" s="185"/>
      <c r="AA80" s="70"/>
      <c r="AB80" s="185"/>
      <c r="AF80" s="206"/>
    </row>
    <row r="81" spans="1:32" ht="12.75">
      <c r="A81" s="59"/>
      <c r="B81" s="4" t="s">
        <v>3</v>
      </c>
      <c r="C81" s="4"/>
      <c r="D81" s="57"/>
      <c r="E81" s="70">
        <f>+E83+E93</f>
        <v>0</v>
      </c>
      <c r="F81" s="147" t="e">
        <f>+E81/E$6</f>
        <v>#DIV/0!</v>
      </c>
      <c r="G81" s="70">
        <f>+G83+G93</f>
        <v>0</v>
      </c>
      <c r="H81" s="147" t="e">
        <f>+G81/G$6</f>
        <v>#DIV/0!</v>
      </c>
      <c r="I81" s="70">
        <f>+I83+I93</f>
        <v>0</v>
      </c>
      <c r="J81" s="147" t="e">
        <f>+I81/I$6</f>
        <v>#DIV/0!</v>
      </c>
      <c r="K81" s="70">
        <f>+K83+K93</f>
        <v>0</v>
      </c>
      <c r="L81" s="147" t="e">
        <f>+K81/K$6</f>
        <v>#DIV/0!</v>
      </c>
      <c r="M81" s="70">
        <f>+M83+M93</f>
        <v>2240288.6</v>
      </c>
      <c r="N81" s="147">
        <f>+M81/M$6</f>
        <v>0.25092149857618046</v>
      </c>
      <c r="O81" s="70">
        <f>+O83+O93</f>
        <v>2325508.39</v>
      </c>
      <c r="P81" s="147">
        <f>+O81/O$6</f>
        <v>0.263179495813892</v>
      </c>
      <c r="Q81" s="70">
        <f>+Q83+Q93</f>
        <v>2470006.0500000003</v>
      </c>
      <c r="R81" s="147">
        <f>+Q81/Q$6</f>
        <v>0.27762967245168496</v>
      </c>
      <c r="S81" s="70">
        <f>+S83+S93</f>
        <v>2692457.2300000004</v>
      </c>
      <c r="T81" s="147">
        <f>+S81/S$6</f>
        <v>0.30415981684771737</v>
      </c>
      <c r="U81" s="70">
        <f>+U83+U93</f>
        <v>2791487.2</v>
      </c>
      <c r="V81" s="147">
        <f>+U81/U$6</f>
        <v>0.313956657953605</v>
      </c>
      <c r="W81" s="70">
        <f>+W83+W93</f>
        <v>3001002.08</v>
      </c>
      <c r="X81" s="147">
        <f>+W81/W$6</f>
        <v>0.3367398353571804</v>
      </c>
      <c r="Y81" s="70">
        <f>+Y83+Y93</f>
        <v>2987604.9</v>
      </c>
      <c r="Z81" s="147">
        <f>+Y81/Y$6</f>
        <v>0.33613432586089814</v>
      </c>
      <c r="AA81" s="70">
        <f>AA83+AA93</f>
        <v>3381660.02</v>
      </c>
      <c r="AB81" s="147">
        <f>+AA81/AA$6</f>
        <v>0.3636552024434495</v>
      </c>
      <c r="AF81" s="206"/>
    </row>
    <row r="82" spans="1:32" ht="4.5" customHeight="1">
      <c r="A82" s="54"/>
      <c r="B82" s="1"/>
      <c r="C82" s="1"/>
      <c r="D82" s="55"/>
      <c r="E82" s="69"/>
      <c r="F82" s="182"/>
      <c r="G82" s="69"/>
      <c r="H82" s="182"/>
      <c r="I82" s="69"/>
      <c r="J82" s="182"/>
      <c r="K82" s="69"/>
      <c r="L82" s="182"/>
      <c r="M82" s="69"/>
      <c r="N82" s="182"/>
      <c r="O82" s="69"/>
      <c r="P82" s="182"/>
      <c r="Q82" s="69"/>
      <c r="R82" s="182"/>
      <c r="S82" s="69"/>
      <c r="T82" s="182"/>
      <c r="U82" s="69"/>
      <c r="V82" s="182"/>
      <c r="W82" s="69"/>
      <c r="X82" s="182"/>
      <c r="Y82" s="69"/>
      <c r="Z82" s="182"/>
      <c r="AA82" s="69"/>
      <c r="AB82" s="182"/>
      <c r="AF82" s="206"/>
    </row>
    <row r="83" spans="1:32" ht="12.75">
      <c r="A83" s="54"/>
      <c r="B83" s="1"/>
      <c r="C83" s="4" t="s">
        <v>16</v>
      </c>
      <c r="D83" s="57"/>
      <c r="E83" s="70">
        <f>SUM(E84:E91)</f>
        <v>0</v>
      </c>
      <c r="F83" s="147" t="e">
        <f aca="true" t="shared" si="44" ref="F83:F91">+E83/E$6</f>
        <v>#DIV/0!</v>
      </c>
      <c r="G83" s="70">
        <f>SUM(G84:G91)</f>
        <v>0</v>
      </c>
      <c r="H83" s="147" t="e">
        <f aca="true" t="shared" si="45" ref="H83:H90">+G83/G$6</f>
        <v>#DIV/0!</v>
      </c>
      <c r="I83" s="70">
        <f>SUM(I84:I91)</f>
        <v>0</v>
      </c>
      <c r="J83" s="147" t="e">
        <f aca="true" t="shared" si="46" ref="J83:J90">+I83/I$6</f>
        <v>#DIV/0!</v>
      </c>
      <c r="K83" s="70">
        <f>SUM(K84:K91)</f>
        <v>0</v>
      </c>
      <c r="L83" s="147" t="e">
        <f aca="true" t="shared" si="47" ref="L83:L90">+K83/K$6</f>
        <v>#DIV/0!</v>
      </c>
      <c r="M83" s="70">
        <f>SUM(M84:M91)</f>
        <v>1443970.84</v>
      </c>
      <c r="N83" s="147">
        <f aca="true" t="shared" si="48" ref="N83:P91">+M83/M$6</f>
        <v>0.1617306480393223</v>
      </c>
      <c r="O83" s="70">
        <f>SUM(O84:O91)</f>
        <v>1482098.6900000002</v>
      </c>
      <c r="P83" s="147">
        <f t="shared" si="48"/>
        <v>0.16773019940840972</v>
      </c>
      <c r="Q83" s="70">
        <f>SUM(Q84:Q91)</f>
        <v>1569413.7000000002</v>
      </c>
      <c r="R83" s="147">
        <f aca="true" t="shared" si="49" ref="R83:R91">+Q83/Q$6</f>
        <v>0.1764027304597845</v>
      </c>
      <c r="S83" s="70">
        <f>SUM(S84:S91)</f>
        <v>1655000.1500000001</v>
      </c>
      <c r="T83" s="147">
        <f aca="true" t="shared" si="50" ref="T83:T91">+S83/S$6</f>
        <v>0.18696101720692687</v>
      </c>
      <c r="U83" s="70">
        <f>SUM(U84:U91)</f>
        <v>1647966.3000000003</v>
      </c>
      <c r="V83" s="147">
        <f aca="true" t="shared" si="51" ref="V83:V91">+U83/U$6</f>
        <v>0.18534564370138185</v>
      </c>
      <c r="W83" s="70">
        <f>SUM(W84:W91)</f>
        <v>1755531</v>
      </c>
      <c r="X83" s="147">
        <f aca="true" t="shared" si="52" ref="X83:X91">+W83/W$6</f>
        <v>0.19698660785480904</v>
      </c>
      <c r="Y83" s="70">
        <f>SUM(Y84:Y91)</f>
        <v>1748449.51</v>
      </c>
      <c r="Z83" s="147">
        <f aca="true" t="shared" si="53" ref="Z83:Z91">+Y83/Y$6</f>
        <v>0.19671740977050467</v>
      </c>
      <c r="AA83" s="70">
        <f>SUM(AA84:AA91)</f>
        <v>1515721.49</v>
      </c>
      <c r="AB83" s="147">
        <f aca="true" t="shared" si="54" ref="AB83:AB93">+AA83/AA$6</f>
        <v>0.1629968719604867</v>
      </c>
      <c r="AF83" s="206"/>
    </row>
    <row r="84" spans="1:28" ht="12.75">
      <c r="A84" s="54"/>
      <c r="B84" s="1"/>
      <c r="C84" s="1"/>
      <c r="D84" s="55" t="s">
        <v>17</v>
      </c>
      <c r="E84" s="69"/>
      <c r="F84" s="146" t="e">
        <f t="shared" si="44"/>
        <v>#DIV/0!</v>
      </c>
      <c r="G84" s="69"/>
      <c r="H84" s="146" t="e">
        <f t="shared" si="45"/>
        <v>#DIV/0!</v>
      </c>
      <c r="I84" s="69"/>
      <c r="J84" s="146" t="e">
        <f t="shared" si="46"/>
        <v>#DIV/0!</v>
      </c>
      <c r="K84" s="69"/>
      <c r="L84" s="146" t="e">
        <f t="shared" si="47"/>
        <v>#DIV/0!</v>
      </c>
      <c r="M84" s="69">
        <v>168942.35</v>
      </c>
      <c r="N84" s="146">
        <f t="shared" si="48"/>
        <v>0.01892223512407356</v>
      </c>
      <c r="O84" s="69">
        <v>175994.18</v>
      </c>
      <c r="P84" s="146">
        <f t="shared" si="48"/>
        <v>0.019917390862898305</v>
      </c>
      <c r="Q84" s="69">
        <v>133084.8</v>
      </c>
      <c r="R84" s="146">
        <f t="shared" si="49"/>
        <v>0.01495878499257036</v>
      </c>
      <c r="S84" s="69">
        <v>173737.13</v>
      </c>
      <c r="T84" s="146">
        <f t="shared" si="50"/>
        <v>0.019626626953122686</v>
      </c>
      <c r="U84" s="69">
        <v>129834.64</v>
      </c>
      <c r="V84" s="146">
        <f t="shared" si="51"/>
        <v>0.014602413244456014</v>
      </c>
      <c r="W84" s="69">
        <v>128059.59</v>
      </c>
      <c r="X84" s="146">
        <f t="shared" si="52"/>
        <v>0.014369455302912693</v>
      </c>
      <c r="Y84" s="69">
        <v>132202.68</v>
      </c>
      <c r="Z84" s="146">
        <f t="shared" si="53"/>
        <v>0.014874074787735165</v>
      </c>
      <c r="AA84" s="69">
        <v>135372.45</v>
      </c>
      <c r="AB84" s="146">
        <f t="shared" si="54"/>
        <v>0.014557612361639993</v>
      </c>
    </row>
    <row r="85" spans="1:28" ht="12.75">
      <c r="A85" s="54"/>
      <c r="B85" s="1"/>
      <c r="C85" s="1"/>
      <c r="D85" s="55" t="s">
        <v>18</v>
      </c>
      <c r="E85" s="69"/>
      <c r="F85" s="146" t="e">
        <f t="shared" si="44"/>
        <v>#DIV/0!</v>
      </c>
      <c r="G85" s="69"/>
      <c r="H85" s="146" t="e">
        <f t="shared" si="45"/>
        <v>#DIV/0!</v>
      </c>
      <c r="I85" s="69"/>
      <c r="J85" s="146" t="e">
        <f t="shared" si="46"/>
        <v>#DIV/0!</v>
      </c>
      <c r="K85" s="69"/>
      <c r="L85" s="146" t="e">
        <f t="shared" si="47"/>
        <v>#DIV/0!</v>
      </c>
      <c r="M85" s="69">
        <v>104847.5</v>
      </c>
      <c r="N85" s="146">
        <f t="shared" si="48"/>
        <v>0.01174334941576995</v>
      </c>
      <c r="O85" s="69">
        <v>94118.7</v>
      </c>
      <c r="P85" s="146">
        <f t="shared" si="48"/>
        <v>0.01065148253997869</v>
      </c>
      <c r="Q85" s="69">
        <v>123179.9</v>
      </c>
      <c r="R85" s="146">
        <f t="shared" si="49"/>
        <v>0.013845470252848694</v>
      </c>
      <c r="S85" s="69">
        <v>104710.88</v>
      </c>
      <c r="T85" s="146">
        <f t="shared" si="50"/>
        <v>0.011828912908214815</v>
      </c>
      <c r="U85" s="69">
        <v>102230.77</v>
      </c>
      <c r="V85" s="146">
        <f t="shared" si="51"/>
        <v>0.011497824847351498</v>
      </c>
      <c r="W85" s="69">
        <v>107237.92</v>
      </c>
      <c r="X85" s="146">
        <f t="shared" si="52"/>
        <v>0.012033073807415182</v>
      </c>
      <c r="Y85" s="69">
        <v>107621.83</v>
      </c>
      <c r="Z85" s="146">
        <f t="shared" si="53"/>
        <v>0.012108492416439062</v>
      </c>
      <c r="AA85" s="69">
        <v>99825.65</v>
      </c>
      <c r="AB85" s="146">
        <f t="shared" si="54"/>
        <v>0.010734999007912964</v>
      </c>
    </row>
    <row r="86" spans="1:28" ht="12.75">
      <c r="A86" s="54"/>
      <c r="B86" s="1"/>
      <c r="C86" s="1"/>
      <c r="D86" s="55" t="s">
        <v>19</v>
      </c>
      <c r="E86" s="69"/>
      <c r="F86" s="146" t="e">
        <f t="shared" si="44"/>
        <v>#DIV/0!</v>
      </c>
      <c r="G86" s="69"/>
      <c r="H86" s="146" t="e">
        <f t="shared" si="45"/>
        <v>#DIV/0!</v>
      </c>
      <c r="I86" s="69"/>
      <c r="J86" s="146" t="e">
        <f t="shared" si="46"/>
        <v>#DIV/0!</v>
      </c>
      <c r="K86" s="69"/>
      <c r="L86" s="146" t="e">
        <f t="shared" si="47"/>
        <v>#DIV/0!</v>
      </c>
      <c r="M86" s="69">
        <v>60678.2</v>
      </c>
      <c r="N86" s="146">
        <f t="shared" si="48"/>
        <v>0.0067962069149953225</v>
      </c>
      <c r="O86" s="69">
        <v>57585.07</v>
      </c>
      <c r="P86" s="146">
        <f t="shared" si="48"/>
        <v>0.006516944748157919</v>
      </c>
      <c r="Q86" s="69">
        <v>68400.4</v>
      </c>
      <c r="R86" s="146">
        <f t="shared" si="49"/>
        <v>0.007688232442816983</v>
      </c>
      <c r="S86" s="69">
        <v>55412.13</v>
      </c>
      <c r="T86" s="146">
        <f t="shared" si="50"/>
        <v>0.006259762689690674</v>
      </c>
      <c r="U86" s="69">
        <v>58901.68</v>
      </c>
      <c r="V86" s="146">
        <f t="shared" si="51"/>
        <v>0.006624631701930317</v>
      </c>
      <c r="W86" s="69">
        <v>60075.25</v>
      </c>
      <c r="X86" s="146">
        <f t="shared" si="52"/>
        <v>0.006740991593728402</v>
      </c>
      <c r="Y86" s="69">
        <v>59631.29</v>
      </c>
      <c r="Z86" s="146">
        <f t="shared" si="53"/>
        <v>0.006709094453676159</v>
      </c>
      <c r="AA86" s="69">
        <v>57527.24</v>
      </c>
      <c r="AB86" s="146">
        <f t="shared" si="54"/>
        <v>0.00618633451751099</v>
      </c>
    </row>
    <row r="87" spans="1:28" ht="12.75">
      <c r="A87" s="54"/>
      <c r="B87" s="1"/>
      <c r="C87" s="1"/>
      <c r="D87" s="55" t="s">
        <v>20</v>
      </c>
      <c r="E87" s="69"/>
      <c r="F87" s="146" t="e">
        <f t="shared" si="44"/>
        <v>#DIV/0!</v>
      </c>
      <c r="G87" s="69"/>
      <c r="H87" s="146" t="e">
        <f t="shared" si="45"/>
        <v>#DIV/0!</v>
      </c>
      <c r="I87" s="69"/>
      <c r="J87" s="146" t="e">
        <f t="shared" si="46"/>
        <v>#DIV/0!</v>
      </c>
      <c r="K87" s="69"/>
      <c r="L87" s="146" t="e">
        <f t="shared" si="47"/>
        <v>#DIV/0!</v>
      </c>
      <c r="M87" s="69">
        <f>229865.82+110506.83</f>
        <v>340372.65</v>
      </c>
      <c r="N87" s="146">
        <f t="shared" si="48"/>
        <v>0.03812313083785088</v>
      </c>
      <c r="O87" s="69">
        <f>227927.07+97807.06</f>
        <v>325734.13</v>
      </c>
      <c r="P87" s="146">
        <f t="shared" si="48"/>
        <v>0.03686357119648007</v>
      </c>
      <c r="Q87" s="69">
        <f>241905.3+86568.6</f>
        <v>328473.9</v>
      </c>
      <c r="R87" s="146">
        <f t="shared" si="49"/>
        <v>0.03692059833858606</v>
      </c>
      <c r="S87" s="69">
        <f>239048.66+74347.01</f>
        <v>313395.67</v>
      </c>
      <c r="T87" s="146">
        <f t="shared" si="50"/>
        <v>0.03540348516067891</v>
      </c>
      <c r="U87" s="69">
        <f>218141.98+65192.2</f>
        <v>283334.18</v>
      </c>
      <c r="V87" s="146">
        <f t="shared" si="51"/>
        <v>0.03186640162162489</v>
      </c>
      <c r="W87" s="69">
        <f>214269.51+54055.78</f>
        <v>268325.29000000004</v>
      </c>
      <c r="X87" s="146">
        <f t="shared" si="52"/>
        <v>0.030108547601129184</v>
      </c>
      <c r="Y87" s="69">
        <f>209482.05+17853.39</f>
        <v>227335.44</v>
      </c>
      <c r="Z87" s="146">
        <f t="shared" si="53"/>
        <v>0.02557742654281048</v>
      </c>
      <c r="AA87" s="69">
        <f>200835.63+13156.75</f>
        <v>213992.38</v>
      </c>
      <c r="AB87" s="146">
        <f t="shared" si="54"/>
        <v>0.023012201643574915</v>
      </c>
    </row>
    <row r="88" spans="1:30" ht="12.75">
      <c r="A88" s="54"/>
      <c r="B88" s="1"/>
      <c r="C88" s="1"/>
      <c r="D88" s="55" t="s">
        <v>108</v>
      </c>
      <c r="E88" s="69"/>
      <c r="F88" s="146" t="e">
        <f t="shared" si="44"/>
        <v>#DIV/0!</v>
      </c>
      <c r="G88" s="69"/>
      <c r="H88" s="146" t="e">
        <f t="shared" si="45"/>
        <v>#DIV/0!</v>
      </c>
      <c r="I88" s="69"/>
      <c r="J88" s="146" t="e">
        <f t="shared" si="46"/>
        <v>#DIV/0!</v>
      </c>
      <c r="K88" s="69"/>
      <c r="L88" s="146" t="e">
        <f t="shared" si="47"/>
        <v>#DIV/0!</v>
      </c>
      <c r="M88" s="69">
        <v>7331.39</v>
      </c>
      <c r="N88" s="146">
        <f t="shared" si="48"/>
        <v>0.0008211457066051327</v>
      </c>
      <c r="O88" s="69">
        <v>8604.24</v>
      </c>
      <c r="P88" s="146">
        <f t="shared" si="48"/>
        <v>0.0009737481725712983</v>
      </c>
      <c r="Q88" s="69">
        <v>9814.6</v>
      </c>
      <c r="R88" s="146">
        <f t="shared" si="49"/>
        <v>0.0011031649834397398</v>
      </c>
      <c r="S88" s="69">
        <v>6555.8</v>
      </c>
      <c r="T88" s="146">
        <f t="shared" si="50"/>
        <v>0.0007405914957803304</v>
      </c>
      <c r="U88" s="69">
        <v>8585.49</v>
      </c>
      <c r="V88" s="146">
        <f t="shared" si="51"/>
        <v>0.0009656041938125655</v>
      </c>
      <c r="W88" s="69">
        <v>6558.24</v>
      </c>
      <c r="X88" s="146">
        <f t="shared" si="52"/>
        <v>0.0007358944109205265</v>
      </c>
      <c r="Y88" s="69">
        <v>6076.43</v>
      </c>
      <c r="Z88" s="146">
        <f t="shared" si="53"/>
        <v>0.0006836568991070196</v>
      </c>
      <c r="AA88" s="69">
        <v>7279.32</v>
      </c>
      <c r="AB88" s="146">
        <f t="shared" si="54"/>
        <v>0.0007827997411314726</v>
      </c>
      <c r="AD88" s="206"/>
    </row>
    <row r="89" spans="1:28" ht="12.75">
      <c r="A89" s="54"/>
      <c r="B89" s="1"/>
      <c r="C89" s="1"/>
      <c r="D89" s="55" t="s">
        <v>52</v>
      </c>
      <c r="E89" s="69"/>
      <c r="F89" s="146" t="e">
        <f t="shared" si="44"/>
        <v>#DIV/0!</v>
      </c>
      <c r="G89" s="69"/>
      <c r="H89" s="146" t="e">
        <f t="shared" si="45"/>
        <v>#DIV/0!</v>
      </c>
      <c r="I89" s="69"/>
      <c r="J89" s="146" t="e">
        <f t="shared" si="46"/>
        <v>#DIV/0!</v>
      </c>
      <c r="K89" s="69"/>
      <c r="L89" s="146" t="e">
        <f t="shared" si="47"/>
        <v>#DIV/0!</v>
      </c>
      <c r="M89" s="69">
        <v>342228.05</v>
      </c>
      <c r="N89" s="146">
        <f t="shared" si="48"/>
        <v>0.03833094323686868</v>
      </c>
      <c r="O89" s="69">
        <v>326423.86</v>
      </c>
      <c r="P89" s="146">
        <f t="shared" si="48"/>
        <v>0.036941628448145254</v>
      </c>
      <c r="Q89" s="69">
        <v>325918.68</v>
      </c>
      <c r="R89" s="146">
        <f t="shared" si="49"/>
        <v>0.03663339058391599</v>
      </c>
      <c r="S89" s="69">
        <v>332352.92</v>
      </c>
      <c r="T89" s="146">
        <f t="shared" si="50"/>
        <v>0.03754503586896496</v>
      </c>
      <c r="U89" s="69">
        <v>335249.81</v>
      </c>
      <c r="V89" s="146">
        <f t="shared" si="51"/>
        <v>0.03770531705364118</v>
      </c>
      <c r="W89" s="69">
        <v>341146.72</v>
      </c>
      <c r="X89" s="146">
        <f t="shared" si="52"/>
        <v>0.03827977697551016</v>
      </c>
      <c r="Y89" s="69">
        <v>344322.87</v>
      </c>
      <c r="Z89" s="146">
        <f t="shared" si="53"/>
        <v>0.03873963916244068</v>
      </c>
      <c r="AA89" s="69">
        <v>345683.61</v>
      </c>
      <c r="AB89" s="146">
        <f t="shared" si="54"/>
        <v>0.037173944876910614</v>
      </c>
    </row>
    <row r="90" spans="1:28" ht="12.75">
      <c r="A90" s="54"/>
      <c r="B90" s="1"/>
      <c r="C90" s="1"/>
      <c r="D90" s="55" t="s">
        <v>248</v>
      </c>
      <c r="E90" s="69"/>
      <c r="F90" s="146" t="e">
        <f t="shared" si="44"/>
        <v>#DIV/0!</v>
      </c>
      <c r="G90" s="69"/>
      <c r="H90" s="146" t="e">
        <f t="shared" si="45"/>
        <v>#DIV/0!</v>
      </c>
      <c r="I90" s="69"/>
      <c r="J90" s="146" t="e">
        <f t="shared" si="46"/>
        <v>#DIV/0!</v>
      </c>
      <c r="K90" s="69"/>
      <c r="L90" s="146" t="e">
        <f t="shared" si="47"/>
        <v>#DIV/0!</v>
      </c>
      <c r="M90" s="69">
        <v>394549.83</v>
      </c>
      <c r="N90" s="146">
        <f t="shared" si="48"/>
        <v>0.044191196887123044</v>
      </c>
      <c r="O90" s="69">
        <v>468617.64</v>
      </c>
      <c r="P90" s="146">
        <f t="shared" si="48"/>
        <v>0.053033803169678505</v>
      </c>
      <c r="Q90" s="69">
        <v>555520.55</v>
      </c>
      <c r="R90" s="146">
        <f t="shared" si="49"/>
        <v>0.062440733024390724</v>
      </c>
      <c r="S90" s="69">
        <v>643814.75</v>
      </c>
      <c r="T90" s="146">
        <f t="shared" si="50"/>
        <v>0.07273006020744066</v>
      </c>
      <c r="U90" s="69">
        <v>704808.86</v>
      </c>
      <c r="V90" s="146">
        <f t="shared" si="51"/>
        <v>0.07926937088649028</v>
      </c>
      <c r="W90" s="69">
        <v>779820.24</v>
      </c>
      <c r="X90" s="146">
        <f t="shared" si="52"/>
        <v>0.08750295142274506</v>
      </c>
      <c r="Y90" s="69">
        <v>806951.22</v>
      </c>
      <c r="Z90" s="146">
        <f t="shared" si="53"/>
        <v>0.09078978426408703</v>
      </c>
      <c r="AA90" s="69">
        <v>591733.09</v>
      </c>
      <c r="AB90" s="146">
        <f t="shared" si="54"/>
        <v>0.06363348632439932</v>
      </c>
    </row>
    <row r="91" spans="1:28" ht="12.75">
      <c r="A91" s="54"/>
      <c r="B91" s="1"/>
      <c r="C91" s="1"/>
      <c r="D91" s="55" t="s">
        <v>288</v>
      </c>
      <c r="E91" s="69"/>
      <c r="F91" s="146" t="e">
        <f t="shared" si="44"/>
        <v>#DIV/0!</v>
      </c>
      <c r="G91" s="69"/>
      <c r="H91" s="146"/>
      <c r="I91" s="69"/>
      <c r="J91" s="146"/>
      <c r="K91" s="69"/>
      <c r="L91" s="146"/>
      <c r="M91" s="69">
        <v>25020.87</v>
      </c>
      <c r="N91" s="146">
        <f t="shared" si="48"/>
        <v>0.0028024399160357268</v>
      </c>
      <c r="O91" s="69">
        <v>25020.87</v>
      </c>
      <c r="P91" s="146">
        <f t="shared" si="48"/>
        <v>0.002831630270499663</v>
      </c>
      <c r="Q91" s="69">
        <v>25020.87</v>
      </c>
      <c r="R91" s="146">
        <f t="shared" si="49"/>
        <v>0.0028123558412159314</v>
      </c>
      <c r="S91" s="69">
        <v>25020.87</v>
      </c>
      <c r="T91" s="146">
        <f t="shared" si="50"/>
        <v>0.0028265419230338318</v>
      </c>
      <c r="U91" s="69">
        <v>25020.87</v>
      </c>
      <c r="V91" s="146">
        <f t="shared" si="51"/>
        <v>0.0028140801520750713</v>
      </c>
      <c r="W91" s="69">
        <v>64307.75</v>
      </c>
      <c r="X91" s="146">
        <f t="shared" si="52"/>
        <v>0.007215916740447816</v>
      </c>
      <c r="Y91" s="69">
        <v>64307.75</v>
      </c>
      <c r="Z91" s="146">
        <f t="shared" si="53"/>
        <v>0.0072352412442090895</v>
      </c>
      <c r="AA91" s="69">
        <v>64307.75</v>
      </c>
      <c r="AB91" s="146">
        <f t="shared" si="54"/>
        <v>0.0069154934874064425</v>
      </c>
    </row>
    <row r="92" spans="1:28" ht="12.75">
      <c r="A92" s="54"/>
      <c r="B92" s="1"/>
      <c r="C92" s="1"/>
      <c r="D92" s="55"/>
      <c r="E92" s="69"/>
      <c r="F92" s="146"/>
      <c r="G92" s="69"/>
      <c r="H92" s="146"/>
      <c r="I92" s="69"/>
      <c r="J92" s="146"/>
      <c r="K92" s="69"/>
      <c r="L92" s="146"/>
      <c r="M92" s="69"/>
      <c r="N92" s="146"/>
      <c r="O92" s="69"/>
      <c r="P92" s="146"/>
      <c r="Q92" s="69"/>
      <c r="R92" s="146"/>
      <c r="S92" s="69"/>
      <c r="T92" s="146"/>
      <c r="U92" s="69"/>
      <c r="V92" s="146"/>
      <c r="W92" s="69"/>
      <c r="X92" s="146"/>
      <c r="Y92" s="69"/>
      <c r="Z92" s="146"/>
      <c r="AA92" s="69"/>
      <c r="AB92" s="146"/>
    </row>
    <row r="93" spans="1:28" ht="12.75">
      <c r="A93" s="54"/>
      <c r="B93" s="1"/>
      <c r="C93" s="4" t="s">
        <v>247</v>
      </c>
      <c r="D93" s="57"/>
      <c r="E93" s="70">
        <f>SUM(E94:E96)</f>
        <v>0</v>
      </c>
      <c r="F93" s="147" t="e">
        <f>+E93/E$6</f>
        <v>#DIV/0!</v>
      </c>
      <c r="G93" s="70">
        <f>SUM(G94:G96)</f>
        <v>0</v>
      </c>
      <c r="H93" s="147" t="e">
        <f>+G93/G$6</f>
        <v>#DIV/0!</v>
      </c>
      <c r="I93" s="70">
        <f>SUM(I94:I96)</f>
        <v>0</v>
      </c>
      <c r="J93" s="147" t="e">
        <f>+I93/I$6</f>
        <v>#DIV/0!</v>
      </c>
      <c r="K93" s="70">
        <f>SUM(K94:K96)</f>
        <v>0</v>
      </c>
      <c r="L93" s="147" t="e">
        <f>+K93/K$6</f>
        <v>#DIV/0!</v>
      </c>
      <c r="M93" s="70">
        <f>SUM(M94:M96)</f>
        <v>796317.76</v>
      </c>
      <c r="N93" s="147">
        <f>+M93/M$6</f>
        <v>0.08919085053685814</v>
      </c>
      <c r="O93" s="70">
        <f>SUM(O94:O96)</f>
        <v>843409.7000000001</v>
      </c>
      <c r="P93" s="147">
        <f>+O93/O$6</f>
        <v>0.09544929640548229</v>
      </c>
      <c r="Q93" s="70">
        <f>SUM(Q94:Q96)</f>
        <v>900592.35</v>
      </c>
      <c r="R93" s="147">
        <f>+Q93/Q$6</f>
        <v>0.10122694199190047</v>
      </c>
      <c r="S93" s="70">
        <f>SUM(S94:S96)</f>
        <v>1037457.0800000001</v>
      </c>
      <c r="T93" s="147">
        <f>+S93/S$6</f>
        <v>0.11719879964079044</v>
      </c>
      <c r="U93" s="70">
        <f>SUM(U94:U96)</f>
        <v>1143520.9000000001</v>
      </c>
      <c r="V93" s="147">
        <f>+U93/U$6</f>
        <v>0.12861101425222318</v>
      </c>
      <c r="W93" s="70">
        <f>SUM(W94:W96)</f>
        <v>1245471.08</v>
      </c>
      <c r="X93" s="147">
        <f>+W93/W$6</f>
        <v>0.13975322750237137</v>
      </c>
      <c r="Y93" s="70">
        <f>SUM(Y94:Y96)</f>
        <v>1239155.39</v>
      </c>
      <c r="Z93" s="147">
        <f>+Y93/Y$6</f>
        <v>0.13941691609039344</v>
      </c>
      <c r="AA93" s="70">
        <f>SUM(AA94:AA96)</f>
        <v>1865938.53</v>
      </c>
      <c r="AB93" s="147">
        <f t="shared" si="54"/>
        <v>0.2006583304829628</v>
      </c>
    </row>
    <row r="94" spans="1:30" ht="12.75">
      <c r="A94" s="54"/>
      <c r="B94" s="1"/>
      <c r="C94" s="1"/>
      <c r="D94" s="55" t="s">
        <v>291</v>
      </c>
      <c r="E94" s="69"/>
      <c r="F94" s="146" t="e">
        <f>+E94/E$6</f>
        <v>#DIV/0!</v>
      </c>
      <c r="G94" s="69"/>
      <c r="H94" s="146" t="e">
        <f>+G94/G$6</f>
        <v>#DIV/0!</v>
      </c>
      <c r="I94" s="69"/>
      <c r="J94" s="146" t="e">
        <f>+I94/I$6</f>
        <v>#DIV/0!</v>
      </c>
      <c r="K94" s="69"/>
      <c r="L94" s="146" t="e">
        <f>+K94/K$6</f>
        <v>#DIV/0!</v>
      </c>
      <c r="M94" s="69">
        <v>9899.49</v>
      </c>
      <c r="N94" s="146">
        <f>+M94/M$6</f>
        <v>0.001108783424573027</v>
      </c>
      <c r="O94" s="69">
        <v>14467.65</v>
      </c>
      <c r="P94" s="146">
        <f>+O94/O$6</f>
        <v>0.0016373145970941237</v>
      </c>
      <c r="Q94" s="69">
        <v>21118.74</v>
      </c>
      <c r="R94" s="146">
        <f>+Q94/Q$6</f>
        <v>0.0023737548613665532</v>
      </c>
      <c r="S94" s="69">
        <v>25327.03</v>
      </c>
      <c r="T94" s="146">
        <f>+S94/S$6</f>
        <v>0.002861128013571692</v>
      </c>
      <c r="U94" s="69">
        <v>24818.61</v>
      </c>
      <c r="V94" s="146">
        <f>+U94/U$6</f>
        <v>0.0027913321080798507</v>
      </c>
      <c r="W94" s="69">
        <v>36045.57</v>
      </c>
      <c r="X94" s="146">
        <f>+W94/W$6</f>
        <v>0.004044642084072038</v>
      </c>
      <c r="Y94" s="69">
        <v>49571.96</v>
      </c>
      <c r="Z94" s="146">
        <f>+Y94/Y$6</f>
        <v>0.005577322943941954</v>
      </c>
      <c r="AA94" s="69">
        <v>65279.03</v>
      </c>
      <c r="AB94" s="146">
        <f>+AA94/AA$6</f>
        <v>0.007019942492611074</v>
      </c>
      <c r="AD94" s="206"/>
    </row>
    <row r="95" spans="1:28" ht="12.75">
      <c r="A95" s="54"/>
      <c r="B95" s="1"/>
      <c r="C95" s="1"/>
      <c r="D95" s="55" t="s">
        <v>292</v>
      </c>
      <c r="E95" s="69"/>
      <c r="F95" s="146" t="e">
        <f>+E95/E$6</f>
        <v>#DIV/0!</v>
      </c>
      <c r="G95" s="69"/>
      <c r="H95" s="146" t="e">
        <f>+G95/G$6</f>
        <v>#DIV/0!</v>
      </c>
      <c r="I95" s="69"/>
      <c r="J95" s="146" t="e">
        <f>+I95/I$6</f>
        <v>#DIV/0!</v>
      </c>
      <c r="K95" s="69"/>
      <c r="L95" s="146" t="e">
        <f>+K95/K$6</f>
        <v>#DIV/0!</v>
      </c>
      <c r="M95" s="69">
        <v>20968.02</v>
      </c>
      <c r="N95" s="146">
        <f>+M95/M$6</f>
        <v>0.002348504117092469</v>
      </c>
      <c r="O95" s="69">
        <v>26210.76</v>
      </c>
      <c r="P95" s="146">
        <f>+O95/O$6</f>
        <v>0.0029662909974274175</v>
      </c>
      <c r="Q95" s="69">
        <v>31453.5</v>
      </c>
      <c r="R95" s="146">
        <f>+Q95/Q$6</f>
        <v>0.003535386037803054</v>
      </c>
      <c r="S95" s="69">
        <v>36696.24</v>
      </c>
      <c r="T95" s="146">
        <f>+S95/S$6</f>
        <v>0.004145477786252477</v>
      </c>
      <c r="U95" s="69">
        <v>41938.98</v>
      </c>
      <c r="V95" s="146">
        <f>+U95/U$6</f>
        <v>0.004716848423586925</v>
      </c>
      <c r="W95" s="69">
        <v>47181.72</v>
      </c>
      <c r="X95" s="146">
        <f>+W95/W$6</f>
        <v>0.005294219797631258</v>
      </c>
      <c r="Y95" s="69">
        <v>52424.46</v>
      </c>
      <c r="Z95" s="146">
        <f>+Y95/Y$6</f>
        <v>0.005898256667312876</v>
      </c>
      <c r="AA95" s="69">
        <v>57667.2</v>
      </c>
      <c r="AB95" s="146">
        <f>+AA95/AA$6</f>
        <v>0.006201385463446704</v>
      </c>
    </row>
    <row r="96" spans="1:28" ht="12.75">
      <c r="A96" s="54"/>
      <c r="B96" s="1"/>
      <c r="C96" s="1"/>
      <c r="D96" s="55" t="s">
        <v>87</v>
      </c>
      <c r="E96" s="69"/>
      <c r="F96" s="146" t="e">
        <f>+E96/E$6</f>
        <v>#DIV/0!</v>
      </c>
      <c r="G96" s="69"/>
      <c r="H96" s="146" t="e">
        <f>+G96/G$6</f>
        <v>#DIV/0!</v>
      </c>
      <c r="I96" s="69"/>
      <c r="J96" s="146" t="e">
        <f>+I96/I$6</f>
        <v>#DIV/0!</v>
      </c>
      <c r="K96" s="69"/>
      <c r="L96" s="146" t="e">
        <f>+K96/K$6</f>
        <v>#DIV/0!</v>
      </c>
      <c r="M96" s="69">
        <v>765450.25</v>
      </c>
      <c r="N96" s="146">
        <f>+M96/M$6</f>
        <v>0.08573356299519265</v>
      </c>
      <c r="O96" s="69">
        <v>802731.29</v>
      </c>
      <c r="P96" s="146">
        <f>+O96/O$6</f>
        <v>0.09084569081096075</v>
      </c>
      <c r="Q96" s="69">
        <v>848020.11</v>
      </c>
      <c r="R96" s="146">
        <f>+Q96/Q$6</f>
        <v>0.09531780109273086</v>
      </c>
      <c r="S96" s="69">
        <v>975433.81</v>
      </c>
      <c r="T96" s="146">
        <f>+S96/S$6</f>
        <v>0.11019219384096626</v>
      </c>
      <c r="U96" s="69">
        <v>1076763.31</v>
      </c>
      <c r="V96" s="146">
        <f>+U96/U$6</f>
        <v>0.12110283372055639</v>
      </c>
      <c r="W96" s="69">
        <v>1162243.79</v>
      </c>
      <c r="X96" s="146">
        <f>+W96/W$6</f>
        <v>0.13041436562066805</v>
      </c>
      <c r="Y96" s="69">
        <v>1137158.97</v>
      </c>
      <c r="Z96" s="146">
        <f>+Y96/Y$6</f>
        <v>0.1279413364791386</v>
      </c>
      <c r="AA96" s="69">
        <v>1742992.3</v>
      </c>
      <c r="AB96" s="146">
        <f>+AA96/AA$6</f>
        <v>0.187437002526905</v>
      </c>
    </row>
    <row r="97" spans="1:28" ht="8.25" customHeight="1">
      <c r="A97" s="54"/>
      <c r="B97" s="1"/>
      <c r="C97" s="1"/>
      <c r="D97" s="55"/>
      <c r="E97" s="69"/>
      <c r="F97" s="146"/>
      <c r="G97" s="69"/>
      <c r="H97" s="146"/>
      <c r="I97" s="69"/>
      <c r="J97" s="146"/>
      <c r="K97" s="69"/>
      <c r="L97" s="146"/>
      <c r="M97" s="69"/>
      <c r="N97" s="146"/>
      <c r="O97" s="69"/>
      <c r="P97" s="146"/>
      <c r="Q97" s="69"/>
      <c r="R97" s="146"/>
      <c r="S97" s="69"/>
      <c r="T97" s="146"/>
      <c r="U97" s="69"/>
      <c r="V97" s="146"/>
      <c r="W97" s="69"/>
      <c r="X97" s="146"/>
      <c r="Y97" s="69"/>
      <c r="Z97" s="146"/>
      <c r="AA97" s="69"/>
      <c r="AB97" s="146"/>
    </row>
    <row r="98" spans="2:28" ht="12.75">
      <c r="B98" s="256" t="s">
        <v>88</v>
      </c>
      <c r="C98" s="256"/>
      <c r="D98" s="256"/>
      <c r="E98" s="241">
        <f>SUM(E99:E100)</f>
        <v>0</v>
      </c>
      <c r="F98" s="147" t="e">
        <f aca="true" t="shared" si="55" ref="F98:F103">+E98/E$6</f>
        <v>#DIV/0!</v>
      </c>
      <c r="G98" s="241">
        <f>SUM(G99:G100)</f>
        <v>0</v>
      </c>
      <c r="H98" s="147" t="e">
        <f aca="true" t="shared" si="56" ref="H98:H103">+G98/G$6</f>
        <v>#DIV/0!</v>
      </c>
      <c r="I98" s="241">
        <f>SUM(I99:I100)</f>
        <v>0</v>
      </c>
      <c r="J98" s="147" t="e">
        <f aca="true" t="shared" si="57" ref="J98:J103">+I98/I$6</f>
        <v>#DIV/0!</v>
      </c>
      <c r="K98" s="241">
        <f>SUM(K99:K100)</f>
        <v>0</v>
      </c>
      <c r="L98" s="147" t="e">
        <f aca="true" t="shared" si="58" ref="L98:L103">+K98/K$6</f>
        <v>#DIV/0!</v>
      </c>
      <c r="M98" s="241">
        <f>SUM(M99:M100)</f>
        <v>921345.69</v>
      </c>
      <c r="N98" s="147">
        <f>+M98/M$6</f>
        <v>0.10319449076404931</v>
      </c>
      <c r="O98" s="243">
        <f>SUM(O99:O100)</f>
        <v>921345.69</v>
      </c>
      <c r="P98" s="147">
        <f>+O98/O$6</f>
        <v>0.10426936974607191</v>
      </c>
      <c r="Q98" s="243">
        <f>SUM(Q99:Q100)</f>
        <v>921345.69</v>
      </c>
      <c r="R98" s="147">
        <f aca="true" t="shared" si="59" ref="R98:R103">+Q98/Q$6</f>
        <v>0.10355962574645176</v>
      </c>
      <c r="S98" s="243">
        <f>SUM(S99:S100)</f>
        <v>921345.69</v>
      </c>
      <c r="T98" s="147">
        <f aca="true" t="shared" si="60" ref="T98:T103">+S98/S$6</f>
        <v>0.10408200108115875</v>
      </c>
      <c r="U98" s="243">
        <f>SUM(U99:U100)</f>
        <v>845108.19</v>
      </c>
      <c r="V98" s="147">
        <f aca="true" t="shared" si="61" ref="V98:V103">+U98/U$6</f>
        <v>0.09504874066469665</v>
      </c>
      <c r="W98" s="243">
        <f>SUM(W99:W100)</f>
        <v>845108.19</v>
      </c>
      <c r="X98" s="147">
        <f aca="true" t="shared" si="62" ref="X98:X103">+W98/W$6</f>
        <v>0.09482885555334393</v>
      </c>
      <c r="Y98" s="241">
        <f>SUM(Y99:Y100)</f>
        <v>845108.19</v>
      </c>
      <c r="Z98" s="147">
        <f>+Y98/Y$6</f>
        <v>0.09508281089148495</v>
      </c>
      <c r="AA98" s="243">
        <f>SUM(AA99:AA100)</f>
        <v>742570.25</v>
      </c>
      <c r="AB98" s="147">
        <f>+AA98/AA$6</f>
        <v>0.07985413465432664</v>
      </c>
    </row>
    <row r="99" spans="1:28" s="52" customFormat="1" ht="12.75" customHeight="1">
      <c r="A99" s="54"/>
      <c r="B99" s="1"/>
      <c r="C99" s="1"/>
      <c r="D99" s="55" t="s">
        <v>89</v>
      </c>
      <c r="E99" s="69"/>
      <c r="F99" s="146" t="e">
        <f t="shared" si="55"/>
        <v>#DIV/0!</v>
      </c>
      <c r="G99" s="69"/>
      <c r="H99" s="146" t="e">
        <f t="shared" si="56"/>
        <v>#DIV/0!</v>
      </c>
      <c r="I99" s="69"/>
      <c r="J99" s="146" t="e">
        <f t="shared" si="57"/>
        <v>#DIV/0!</v>
      </c>
      <c r="K99" s="69"/>
      <c r="L99" s="146" t="e">
        <f t="shared" si="58"/>
        <v>#DIV/0!</v>
      </c>
      <c r="M99" s="69">
        <v>317470.95</v>
      </c>
      <c r="N99" s="146">
        <f aca="true" t="shared" si="63" ref="N99:P103">+M99/M$6</f>
        <v>0.03555804664113528</v>
      </c>
      <c r="O99" s="69">
        <v>317470.95</v>
      </c>
      <c r="P99" s="146">
        <f t="shared" si="63"/>
        <v>0.03592842103509131</v>
      </c>
      <c r="Q99" s="69">
        <v>317470.95</v>
      </c>
      <c r="R99" s="146">
        <f t="shared" si="59"/>
        <v>0.03568386233767535</v>
      </c>
      <c r="S99" s="69">
        <f>459837.58-142366.63</f>
        <v>317470.95</v>
      </c>
      <c r="T99" s="146">
        <f t="shared" si="60"/>
        <v>0.0358638588314626</v>
      </c>
      <c r="U99" s="69">
        <f>367244.11-126010.66</f>
        <v>241233.44999999998</v>
      </c>
      <c r="V99" s="146">
        <f t="shared" si="61"/>
        <v>0.02713136128606216</v>
      </c>
      <c r="W99" s="69">
        <f>367244.11-126010.66</f>
        <v>241233.44999999998</v>
      </c>
      <c r="X99" s="146">
        <f t="shared" si="62"/>
        <v>0.027068595779062107</v>
      </c>
      <c r="Y99" s="69">
        <f>367244.11-126010.66</f>
        <v>241233.44999999998</v>
      </c>
      <c r="Z99" s="146">
        <f>+Y99/Y$6</f>
        <v>0.02714108652414135</v>
      </c>
      <c r="AA99" s="69">
        <f>235642.9-96947.39</f>
        <v>138695.51</v>
      </c>
      <c r="AB99" s="146">
        <f>+AA99/AA$6</f>
        <v>0.014914965865506337</v>
      </c>
    </row>
    <row r="100" spans="1:28" s="52" customFormat="1" ht="12.75" customHeight="1">
      <c r="A100" s="54"/>
      <c r="B100" s="1"/>
      <c r="C100" s="1"/>
      <c r="D100" s="55" t="s">
        <v>249</v>
      </c>
      <c r="E100" s="69"/>
      <c r="F100" s="146" t="e">
        <f t="shared" si="55"/>
        <v>#DIV/0!</v>
      </c>
      <c r="G100" s="69"/>
      <c r="H100" s="146" t="e">
        <f t="shared" si="56"/>
        <v>#DIV/0!</v>
      </c>
      <c r="I100" s="69"/>
      <c r="J100" s="146" t="e">
        <f t="shared" si="57"/>
        <v>#DIV/0!</v>
      </c>
      <c r="K100" s="69"/>
      <c r="L100" s="146" t="e">
        <f t="shared" si="58"/>
        <v>#DIV/0!</v>
      </c>
      <c r="M100" s="69">
        <v>603874.74</v>
      </c>
      <c r="N100" s="146">
        <f t="shared" si="63"/>
        <v>0.06763644412291404</v>
      </c>
      <c r="O100" s="69">
        <v>603874.74</v>
      </c>
      <c r="P100" s="146">
        <f t="shared" si="63"/>
        <v>0.06834094871098062</v>
      </c>
      <c r="Q100" s="69">
        <v>603874.74</v>
      </c>
      <c r="R100" s="146">
        <f t="shared" si="59"/>
        <v>0.06787576340877643</v>
      </c>
      <c r="S100" s="69">
        <v>603874.74</v>
      </c>
      <c r="T100" s="146">
        <f t="shared" si="60"/>
        <v>0.06821814224969616</v>
      </c>
      <c r="U100" s="69">
        <v>603874.74</v>
      </c>
      <c r="V100" s="146">
        <f t="shared" si="61"/>
        <v>0.06791737937863448</v>
      </c>
      <c r="W100" s="69">
        <f>667554.69-63679.95</f>
        <v>603874.74</v>
      </c>
      <c r="X100" s="146">
        <f t="shared" si="62"/>
        <v>0.06776025977428184</v>
      </c>
      <c r="Y100" s="69">
        <f>667554.69-63679.95</f>
        <v>603874.74</v>
      </c>
      <c r="Z100" s="146">
        <f>+Y100/Y$6</f>
        <v>0.0679417243673436</v>
      </c>
      <c r="AA100" s="69">
        <f>667554.69-63679.95</f>
        <v>603874.74</v>
      </c>
      <c r="AB100" s="146">
        <f>+AA100/AA$6</f>
        <v>0.06493916878882029</v>
      </c>
    </row>
    <row r="101" spans="1:28" ht="11.25" customHeight="1">
      <c r="A101" s="54"/>
      <c r="B101" s="1"/>
      <c r="C101" s="1"/>
      <c r="D101" s="55"/>
      <c r="E101" s="69"/>
      <c r="F101" s="146" t="e">
        <f t="shared" si="55"/>
        <v>#DIV/0!</v>
      </c>
      <c r="G101" s="69"/>
      <c r="H101" s="146" t="e">
        <f t="shared" si="56"/>
        <v>#DIV/0!</v>
      </c>
      <c r="I101" s="69"/>
      <c r="J101" s="146" t="e">
        <f t="shared" si="57"/>
        <v>#DIV/0!</v>
      </c>
      <c r="K101" s="69"/>
      <c r="L101" s="146" t="e">
        <f t="shared" si="58"/>
        <v>#DIV/0!</v>
      </c>
      <c r="M101" s="69"/>
      <c r="N101" s="146">
        <f t="shared" si="63"/>
        <v>0</v>
      </c>
      <c r="O101" s="69"/>
      <c r="P101" s="146">
        <f t="shared" si="63"/>
        <v>0</v>
      </c>
      <c r="Q101" s="69"/>
      <c r="R101" s="146">
        <f t="shared" si="59"/>
        <v>0</v>
      </c>
      <c r="S101" s="69"/>
      <c r="T101" s="146">
        <f t="shared" si="60"/>
        <v>0</v>
      </c>
      <c r="U101" s="69"/>
      <c r="V101" s="146">
        <f t="shared" si="61"/>
        <v>0</v>
      </c>
      <c r="W101" s="69"/>
      <c r="X101" s="146">
        <f t="shared" si="62"/>
        <v>0</v>
      </c>
      <c r="Y101" s="69"/>
      <c r="Z101" s="146"/>
      <c r="AA101" s="69"/>
      <c r="AB101" s="146"/>
    </row>
    <row r="102" spans="1:28" ht="12.75">
      <c r="A102" s="59"/>
      <c r="B102" s="4" t="s">
        <v>22</v>
      </c>
      <c r="C102" s="4"/>
      <c r="D102" s="57"/>
      <c r="E102" s="70">
        <f>E103+E105+E111</f>
        <v>0</v>
      </c>
      <c r="F102" s="147" t="e">
        <f t="shared" si="55"/>
        <v>#DIV/0!</v>
      </c>
      <c r="G102" s="70">
        <f>G103+G105+G111</f>
        <v>0</v>
      </c>
      <c r="H102" s="147" t="e">
        <f t="shared" si="56"/>
        <v>#DIV/0!</v>
      </c>
      <c r="I102" s="70">
        <f>I103+I105+I111</f>
        <v>0</v>
      </c>
      <c r="J102" s="147" t="e">
        <f t="shared" si="57"/>
        <v>#DIV/0!</v>
      </c>
      <c r="K102" s="70">
        <f>K103+K105+K111</f>
        <v>0</v>
      </c>
      <c r="L102" s="147" t="e">
        <f t="shared" si="58"/>
        <v>#DIV/0!</v>
      </c>
      <c r="M102" s="70">
        <f>M103+M105+M111</f>
        <v>5766610.649999999</v>
      </c>
      <c r="N102" s="147">
        <f t="shared" si="63"/>
        <v>0.6458840106597703</v>
      </c>
      <c r="O102" s="70">
        <f>O103+O105+O111</f>
        <v>5589352.49</v>
      </c>
      <c r="P102" s="147">
        <f t="shared" si="63"/>
        <v>0.6325511344400361</v>
      </c>
      <c r="Q102" s="70">
        <f>Q103+Q105+Q111</f>
        <v>5505413.609999999</v>
      </c>
      <c r="R102" s="147">
        <f t="shared" si="59"/>
        <v>0.6188107018018633</v>
      </c>
      <c r="S102" s="70">
        <f>S103+S105+S111</f>
        <v>5238310.609999999</v>
      </c>
      <c r="T102" s="147">
        <f t="shared" si="60"/>
        <v>0.591758182071124</v>
      </c>
      <c r="U102" s="70">
        <f>U103+U105+U111</f>
        <v>5254718.52</v>
      </c>
      <c r="V102" s="147">
        <f t="shared" si="61"/>
        <v>0.5909946013816983</v>
      </c>
      <c r="W102" s="70">
        <f>W103+W105+W111</f>
        <v>5065820.4399999995</v>
      </c>
      <c r="X102" s="147">
        <f t="shared" si="62"/>
        <v>0.5684313090894755</v>
      </c>
      <c r="Y102" s="70">
        <f>Y103+Y105+Y111</f>
        <v>5055414.87</v>
      </c>
      <c r="Z102" s="147">
        <f>+Y102/Y$6</f>
        <v>0.5687828632476168</v>
      </c>
      <c r="AA102" s="70">
        <f>AA103+AA105+AA111</f>
        <v>5174853.03</v>
      </c>
      <c r="AB102" s="147">
        <f>+AA102/AA$6</f>
        <v>0.556490662902224</v>
      </c>
    </row>
    <row r="103" spans="1:28" ht="12.75">
      <c r="A103" s="59"/>
      <c r="B103" s="4"/>
      <c r="C103" s="4"/>
      <c r="D103" s="55" t="s">
        <v>90</v>
      </c>
      <c r="E103" s="69"/>
      <c r="F103" s="146" t="e">
        <f t="shared" si="55"/>
        <v>#DIV/0!</v>
      </c>
      <c r="G103" s="69"/>
      <c r="H103" s="146" t="e">
        <f t="shared" si="56"/>
        <v>#DIV/0!</v>
      </c>
      <c r="I103" s="69"/>
      <c r="J103" s="146" t="e">
        <f t="shared" si="57"/>
        <v>#DIV/0!</v>
      </c>
      <c r="K103" s="69"/>
      <c r="L103" s="146" t="e">
        <f t="shared" si="58"/>
        <v>#DIV/0!</v>
      </c>
      <c r="M103" s="69">
        <v>0.17</v>
      </c>
      <c r="N103" s="146">
        <f t="shared" si="63"/>
        <v>1.9040696255808593E-08</v>
      </c>
      <c r="O103" s="69">
        <v>0.17</v>
      </c>
      <c r="P103" s="146">
        <f t="shared" si="63"/>
        <v>1.923902510124319E-08</v>
      </c>
      <c r="Q103" s="69">
        <v>0.17</v>
      </c>
      <c r="R103" s="146">
        <f t="shared" si="59"/>
        <v>1.910806830484745E-08</v>
      </c>
      <c r="S103" s="69">
        <v>0.17</v>
      </c>
      <c r="T103" s="146">
        <f t="shared" si="60"/>
        <v>1.920445319909945E-08</v>
      </c>
      <c r="U103" s="69">
        <v>0.17</v>
      </c>
      <c r="V103" s="146">
        <f t="shared" si="61"/>
        <v>1.9119783838562057E-08</v>
      </c>
      <c r="W103" s="69">
        <v>0.17</v>
      </c>
      <c r="X103" s="146">
        <f t="shared" si="62"/>
        <v>1.9075552260437178E-08</v>
      </c>
      <c r="Y103" s="69">
        <v>0.17</v>
      </c>
      <c r="Z103" s="146">
        <f>+Y103/Y$6</f>
        <v>1.9126637326224992E-08</v>
      </c>
      <c r="AA103" s="69">
        <v>0.17</v>
      </c>
      <c r="AB103" s="146">
        <f>+AA103/AA$6</f>
        <v>1.828137188533412E-08</v>
      </c>
    </row>
    <row r="104" spans="1:28" ht="9.75" customHeight="1">
      <c r="A104" s="59"/>
      <c r="B104" s="4"/>
      <c r="C104" s="4"/>
      <c r="D104" s="55"/>
      <c r="E104" s="69"/>
      <c r="F104" s="146"/>
      <c r="G104" s="69"/>
      <c r="H104" s="146"/>
      <c r="I104" s="69"/>
      <c r="J104" s="146"/>
      <c r="K104" s="69"/>
      <c r="L104" s="146"/>
      <c r="M104" s="69"/>
      <c r="N104" s="146"/>
      <c r="O104" s="69"/>
      <c r="P104" s="146"/>
      <c r="Q104" s="69"/>
      <c r="R104" s="146"/>
      <c r="S104" s="69"/>
      <c r="T104" s="146"/>
      <c r="U104" s="69"/>
      <c r="V104" s="146"/>
      <c r="W104" s="69"/>
      <c r="X104" s="146"/>
      <c r="Y104" s="69"/>
      <c r="Z104" s="146"/>
      <c r="AA104" s="69"/>
      <c r="AB104" s="146"/>
    </row>
    <row r="105" spans="1:28" ht="12.75">
      <c r="A105" s="54"/>
      <c r="B105" s="1"/>
      <c r="C105" s="1"/>
      <c r="D105" s="57" t="s">
        <v>24</v>
      </c>
      <c r="E105" s="70">
        <f>SUM(E106:E108)</f>
        <v>0</v>
      </c>
      <c r="F105" s="147" t="e">
        <f>+E105/E$6</f>
        <v>#DIV/0!</v>
      </c>
      <c r="G105" s="70">
        <f>SUM(G106:G108)</f>
        <v>0</v>
      </c>
      <c r="H105" s="147" t="e">
        <f>+G105/G$6</f>
        <v>#DIV/0!</v>
      </c>
      <c r="I105" s="70">
        <f>SUM(I106:I108)</f>
        <v>0</v>
      </c>
      <c r="J105" s="147" t="e">
        <f>+I105/I$6</f>
        <v>#DIV/0!</v>
      </c>
      <c r="K105" s="70">
        <f>SUM(K106:K108)</f>
        <v>0</v>
      </c>
      <c r="L105" s="147" t="e">
        <f>+K105/K$6</f>
        <v>#DIV/0!</v>
      </c>
      <c r="M105" s="70">
        <f>SUM(M106:M108)</f>
        <v>5227166.08</v>
      </c>
      <c r="N105" s="147">
        <f>+M105/M$6</f>
        <v>0.585464009458504</v>
      </c>
      <c r="O105" s="70">
        <f>SUM(O106:O108)</f>
        <v>5227166.08</v>
      </c>
      <c r="P105" s="147">
        <f>+O105/O$6</f>
        <v>0.5915622318910998</v>
      </c>
      <c r="Q105" s="70">
        <f>SUM(Q106:Q108)</f>
        <v>5227166.08</v>
      </c>
      <c r="R105" s="147">
        <f>+Q105/Q$6</f>
        <v>0.5875355676318922</v>
      </c>
      <c r="S105" s="70">
        <f>SUM(S106:S108)</f>
        <v>5227166.08</v>
      </c>
      <c r="T105" s="147">
        <f>+S105/S$6</f>
        <v>0.5904992138075301</v>
      </c>
      <c r="U105" s="70">
        <f>SUM(U106:U108)</f>
        <v>5227166.08</v>
      </c>
      <c r="V105" s="147">
        <f>+U105/U$6</f>
        <v>0.5878957972815516</v>
      </c>
      <c r="W105" s="70">
        <f>SUM(W106:W108)</f>
        <v>5227166.08</v>
      </c>
      <c r="X105" s="147">
        <f>+W105/W$6</f>
        <v>0.5865357631354384</v>
      </c>
      <c r="Y105" s="70">
        <f>SUM(Y106:Y108)</f>
        <v>5227166.08</v>
      </c>
      <c r="Z105" s="147">
        <f>+Y105/Y$6</f>
        <v>0.5881065285653245</v>
      </c>
      <c r="AA105" s="70">
        <f>SUM(AA106:AA108)</f>
        <v>5227166.08</v>
      </c>
      <c r="AB105" s="147">
        <f>+AA105/AA$6</f>
        <v>0.5621162765581421</v>
      </c>
    </row>
    <row r="106" spans="1:28" ht="12.75" customHeight="1">
      <c r="A106" s="54"/>
      <c r="B106" s="1"/>
      <c r="C106" s="1"/>
      <c r="D106" s="55" t="s">
        <v>135</v>
      </c>
      <c r="E106" s="69"/>
      <c r="F106" s="146" t="e">
        <f>+E106/E$6</f>
        <v>#DIV/0!</v>
      </c>
      <c r="G106" s="69"/>
      <c r="H106" s="146" t="e">
        <f>+G106/G$6</f>
        <v>#DIV/0!</v>
      </c>
      <c r="I106" s="69"/>
      <c r="J106" s="146" t="e">
        <f>+I106/I$6</f>
        <v>#DIV/0!</v>
      </c>
      <c r="K106" s="69"/>
      <c r="L106" s="146" t="e">
        <f>+K106/K$6</f>
        <v>#DIV/0!</v>
      </c>
      <c r="M106" s="69">
        <v>-1458264.11</v>
      </c>
      <c r="N106" s="146">
        <f>+M106/M$6</f>
        <v>-0.16333155281915912</v>
      </c>
      <c r="O106" s="69">
        <v>-1458264.11</v>
      </c>
      <c r="P106" s="146">
        <f>+O106/O$6</f>
        <v>-0.1650328224501886</v>
      </c>
      <c r="Q106" s="69">
        <v>-1458264.11</v>
      </c>
      <c r="R106" s="146">
        <f>+Q106/Q$6</f>
        <v>-0.16390947188463278</v>
      </c>
      <c r="S106" s="69">
        <v>-1458264.11</v>
      </c>
      <c r="T106" s="146">
        <f>+S106/S$6</f>
        <v>-0.164736263837773</v>
      </c>
      <c r="U106" s="69">
        <v>-1458264.11</v>
      </c>
      <c r="V106" s="146">
        <f>+U106/U$6</f>
        <v>-0.16400996801607695</v>
      </c>
      <c r="W106" s="69">
        <v>-1458264.11</v>
      </c>
      <c r="X106" s="146">
        <f>+W106/W$6</f>
        <v>-0.1636305484695583</v>
      </c>
      <c r="Y106" s="69">
        <v>-1458264.11</v>
      </c>
      <c r="Z106" s="146">
        <f>+Y106/Y$6</f>
        <v>-0.16406875739894275</v>
      </c>
      <c r="AA106" s="69">
        <v>-1458264.11</v>
      </c>
      <c r="AB106" s="146">
        <f>+AA106/AA$6</f>
        <v>-0.15681805001144578</v>
      </c>
    </row>
    <row r="107" spans="1:28" ht="12.75" customHeight="1">
      <c r="A107" s="54"/>
      <c r="B107" s="1"/>
      <c r="C107" s="1"/>
      <c r="D107" s="55" t="s">
        <v>134</v>
      </c>
      <c r="E107" s="69"/>
      <c r="F107" s="146" t="e">
        <f>+E107/E$6</f>
        <v>#DIV/0!</v>
      </c>
      <c r="G107" s="69"/>
      <c r="H107" s="146" t="e">
        <f>+G107/G$6</f>
        <v>#DIV/0!</v>
      </c>
      <c r="I107" s="69"/>
      <c r="J107" s="146" t="e">
        <f>+I107/I$6</f>
        <v>#DIV/0!</v>
      </c>
      <c r="K107" s="69"/>
      <c r="L107" s="146" t="e">
        <f>+K107/K$6</f>
        <v>#DIV/0!</v>
      </c>
      <c r="M107" s="69">
        <v>6685430.19</v>
      </c>
      <c r="N107" s="146">
        <f>+M107/M$6</f>
        <v>0.7487955622776631</v>
      </c>
      <c r="O107" s="69">
        <v>6685430.19</v>
      </c>
      <c r="P107" s="146">
        <f>+O107/O$6</f>
        <v>0.7565950543412885</v>
      </c>
      <c r="Q107" s="69">
        <v>6685430.19</v>
      </c>
      <c r="R107" s="146">
        <f>+Q107/Q$6</f>
        <v>0.7514450395165251</v>
      </c>
      <c r="S107" s="69">
        <v>6685430.19</v>
      </c>
      <c r="T107" s="146">
        <f>+S107/S$6</f>
        <v>0.7552354776453032</v>
      </c>
      <c r="U107" s="69">
        <v>6685430.19</v>
      </c>
      <c r="V107" s="146">
        <f>+U107/U$6</f>
        <v>0.7519057652976285</v>
      </c>
      <c r="W107" s="69">
        <v>6685430.19</v>
      </c>
      <c r="X107" s="146">
        <f>+W107/W$6</f>
        <v>0.7501663116049967</v>
      </c>
      <c r="Y107" s="69">
        <v>6685430.19</v>
      </c>
      <c r="Z107" s="146">
        <f>+Y107/Y$6</f>
        <v>0.7521752859642673</v>
      </c>
      <c r="AA107" s="69">
        <v>6685430.19</v>
      </c>
      <c r="AB107" s="146">
        <f>+AA107/AA$6</f>
        <v>0.7189343265695879</v>
      </c>
    </row>
    <row r="108" spans="1:28" ht="12.75">
      <c r="A108" s="54"/>
      <c r="B108" s="1"/>
      <c r="C108" s="1"/>
      <c r="D108" s="55" t="s">
        <v>130</v>
      </c>
      <c r="E108" s="69"/>
      <c r="F108" s="146" t="e">
        <f>+E108/E$6</f>
        <v>#DIV/0!</v>
      </c>
      <c r="G108" s="69"/>
      <c r="H108" s="146" t="e">
        <f>+G108/G$6</f>
        <v>#DIV/0!</v>
      </c>
      <c r="I108" s="69">
        <v>0</v>
      </c>
      <c r="J108" s="146" t="e">
        <f>+I108/I$6</f>
        <v>#DIV/0!</v>
      </c>
      <c r="K108" s="69"/>
      <c r="L108" s="146" t="e">
        <f>+K108/K$6</f>
        <v>#DIV/0!</v>
      </c>
      <c r="M108" s="69"/>
      <c r="N108" s="146">
        <f>+M108/M$6</f>
        <v>0</v>
      </c>
      <c r="O108" s="69"/>
      <c r="P108" s="146">
        <f>+O108/O$6</f>
        <v>0</v>
      </c>
      <c r="Q108" s="69"/>
      <c r="R108" s="146">
        <f>+Q108/Q$6</f>
        <v>0</v>
      </c>
      <c r="S108" s="69"/>
      <c r="T108" s="146">
        <f>+S108/S$6</f>
        <v>0</v>
      </c>
      <c r="U108" s="69"/>
      <c r="V108" s="146">
        <f>+U108/U$6</f>
        <v>0</v>
      </c>
      <c r="W108" s="69"/>
      <c r="X108" s="146">
        <f>+W108/W$6</f>
        <v>0</v>
      </c>
      <c r="Y108" s="69">
        <v>0</v>
      </c>
      <c r="Z108" s="146">
        <f>+Y108/Y$6</f>
        <v>0</v>
      </c>
      <c r="AA108" s="69">
        <v>0</v>
      </c>
      <c r="AB108" s="146">
        <f>+AA108/AA$6</f>
        <v>0</v>
      </c>
    </row>
    <row r="109" spans="1:28" ht="6.75" customHeight="1">
      <c r="A109" s="54"/>
      <c r="B109" s="1"/>
      <c r="C109" s="1"/>
      <c r="D109" s="55"/>
      <c r="E109" s="69"/>
      <c r="F109" s="146"/>
      <c r="G109" s="69"/>
      <c r="H109" s="146"/>
      <c r="I109" s="69"/>
      <c r="J109" s="146"/>
      <c r="K109" s="69"/>
      <c r="L109" s="146"/>
      <c r="M109" s="69"/>
      <c r="N109" s="146"/>
      <c r="O109" s="69"/>
      <c r="P109" s="146"/>
      <c r="Q109" s="69"/>
      <c r="R109" s="146"/>
      <c r="S109" s="69"/>
      <c r="T109" s="146"/>
      <c r="U109" s="69"/>
      <c r="V109" s="146"/>
      <c r="W109" s="69"/>
      <c r="X109" s="146"/>
      <c r="Y109" s="69"/>
      <c r="Z109" s="146"/>
      <c r="AA109" s="69"/>
      <c r="AB109" s="146"/>
    </row>
    <row r="110" spans="1:28" ht="11.25" customHeight="1">
      <c r="A110" s="54"/>
      <c r="B110" s="1"/>
      <c r="C110" s="1"/>
      <c r="D110" s="55"/>
      <c r="E110" s="69"/>
      <c r="F110" s="146"/>
      <c r="G110" s="69"/>
      <c r="H110" s="146"/>
      <c r="I110" s="69"/>
      <c r="J110" s="146"/>
      <c r="K110" s="69"/>
      <c r="L110" s="146"/>
      <c r="M110" s="69"/>
      <c r="N110" s="146"/>
      <c r="O110" s="69"/>
      <c r="P110" s="146"/>
      <c r="Q110" s="69"/>
      <c r="R110" s="146"/>
      <c r="S110" s="69"/>
      <c r="T110" s="146"/>
      <c r="U110" s="69"/>
      <c r="V110" s="146"/>
      <c r="W110" s="69"/>
      <c r="X110" s="146"/>
      <c r="Y110" s="69"/>
      <c r="Z110" s="146"/>
      <c r="AA110" s="69"/>
      <c r="AB110" s="146"/>
    </row>
    <row r="111" spans="1:28" ht="12.75">
      <c r="A111" s="54"/>
      <c r="B111" s="1"/>
      <c r="C111" s="1"/>
      <c r="D111" s="57" t="s">
        <v>273</v>
      </c>
      <c r="E111" s="70"/>
      <c r="F111" s="147" t="e">
        <f>+E111/E$6</f>
        <v>#DIV/0!</v>
      </c>
      <c r="G111" s="70"/>
      <c r="H111" s="147" t="e">
        <f>+G111/G$6</f>
        <v>#DIV/0!</v>
      </c>
      <c r="I111" s="70"/>
      <c r="J111" s="147" t="e">
        <f>+I111/I$6</f>
        <v>#DIV/0!</v>
      </c>
      <c r="K111" s="70"/>
      <c r="L111" s="147" t="e">
        <f>+K111/K$6</f>
        <v>#DIV/0!</v>
      </c>
      <c r="M111" s="70">
        <f>-64144.08-4869004.99+5472593.47</f>
        <v>539444.3999999994</v>
      </c>
      <c r="N111" s="147">
        <f>+M111/M$6</f>
        <v>0.06041998216057001</v>
      </c>
      <c r="O111" s="70">
        <f>4738349.78-63866.94-4312296.6</f>
        <v>362186.2400000002</v>
      </c>
      <c r="P111" s="147">
        <f>+O111/O$6</f>
        <v>0.04098888330991115</v>
      </c>
      <c r="Q111" s="70">
        <f>-63596.98-3742662.91+4084507.25</f>
        <v>278247.35999999987</v>
      </c>
      <c r="R111" s="147">
        <f>+Q111/Q$6</f>
        <v>0.031275115061902795</v>
      </c>
      <c r="S111" s="70">
        <f>-39468.11-3118056.49+3168668.96</f>
        <v>11144.35999999987</v>
      </c>
      <c r="T111" s="147">
        <f>+S111/S$6</f>
        <v>0.0012589490591406673</v>
      </c>
      <c r="U111" s="70">
        <f>2471010.08-2443457.81</f>
        <v>27552.27000000002</v>
      </c>
      <c r="V111" s="147">
        <f>+U111/U$6</f>
        <v>0.0030987849803629326</v>
      </c>
      <c r="W111" s="70">
        <f>1756184.4-1917530.21</f>
        <v>-161345.81000000006</v>
      </c>
      <c r="X111" s="147">
        <f>+W111/W$6</f>
        <v>-0.018104473121515106</v>
      </c>
      <c r="Y111" s="70">
        <f>1070733.2-1242484.58</f>
        <v>-171751.38000000012</v>
      </c>
      <c r="Z111" s="147">
        <f>+Y111/Y$6</f>
        <v>-0.019323684444345027</v>
      </c>
      <c r="AA111" s="70">
        <f>579363.25-631676.47</f>
        <v>-52313.21999999997</v>
      </c>
      <c r="AB111" s="147">
        <f>+AA111/AA$6</f>
        <v>-0.0056256319372899885</v>
      </c>
    </row>
    <row r="112" spans="1:28" ht="7.5" customHeight="1">
      <c r="A112" s="60"/>
      <c r="B112" s="61"/>
      <c r="C112" s="61"/>
      <c r="D112" s="62"/>
      <c r="E112" s="186"/>
      <c r="F112" s="187"/>
      <c r="G112" s="186"/>
      <c r="H112" s="187"/>
      <c r="I112" s="186"/>
      <c r="J112" s="187"/>
      <c r="K112" s="186"/>
      <c r="L112" s="187"/>
      <c r="M112" s="186"/>
      <c r="N112" s="187"/>
      <c r="O112" s="186"/>
      <c r="P112" s="187"/>
      <c r="Q112" s="186"/>
      <c r="R112" s="187"/>
      <c r="S112" s="186"/>
      <c r="T112" s="187"/>
      <c r="U112" s="186"/>
      <c r="V112" s="187"/>
      <c r="W112" s="186"/>
      <c r="X112" s="187"/>
      <c r="Y112" s="186"/>
      <c r="Z112" s="187"/>
      <c r="AA112" s="186"/>
      <c r="AB112" s="187"/>
    </row>
    <row r="115" spans="5:28" ht="12.75">
      <c r="E115" s="188">
        <f>+E79-E6</f>
        <v>0</v>
      </c>
      <c r="G115" s="188">
        <f>+G79-G6</f>
        <v>0</v>
      </c>
      <c r="I115" s="188">
        <f>+I79-I6</f>
        <v>0</v>
      </c>
      <c r="K115" s="188">
        <f>+K79-K6</f>
        <v>0</v>
      </c>
      <c r="M115" s="188">
        <f>+M79-M6</f>
        <v>0</v>
      </c>
      <c r="O115" s="188">
        <f>+O79-O6</f>
        <v>0</v>
      </c>
      <c r="Q115" s="188">
        <f>+Q79-Q6</f>
        <v>0</v>
      </c>
      <c r="S115" s="188">
        <f>+S79-S6</f>
        <v>0</v>
      </c>
      <c r="U115" s="188">
        <f>+U79-U6</f>
        <v>0</v>
      </c>
      <c r="W115" s="188">
        <f>+W79-W6</f>
        <v>0</v>
      </c>
      <c r="Y115" s="188">
        <f>+Y79-Y6</f>
        <v>0</v>
      </c>
      <c r="AA115" s="188">
        <f>+AA79-AA6</f>
        <v>0</v>
      </c>
      <c r="AB115" s="174">
        <f>+AB79-AB6</f>
        <v>0</v>
      </c>
    </row>
    <row r="116" spans="7:27" ht="12.75">
      <c r="G116" s="208"/>
      <c r="O116" s="206"/>
      <c r="AA116" s="188"/>
    </row>
    <row r="117" spans="9:18" ht="12.75">
      <c r="I117" s="208"/>
      <c r="K117" s="208"/>
      <c r="Q117" s="208"/>
      <c r="R117" s="208"/>
    </row>
    <row r="118" ht="12.75">
      <c r="O118" s="208"/>
    </row>
  </sheetData>
  <sheetProtection/>
  <mergeCells count="1">
    <mergeCell ref="B98:D98"/>
  </mergeCells>
  <printOptions/>
  <pageMargins left="0.25" right="0.25" top="0.75" bottom="0.75" header="0.3" footer="0.3"/>
  <pageSetup horizontalDpi="600" verticalDpi="600" orientation="landscape" paperSize="9" r:id="rId1"/>
  <ignoredErrors>
    <ignoredError sqref="AB93 AC77:AC90 AC98:AC121 AC52:AC73 AB6:AC21 AB23:AB24 AB31:AB90 AB99:AB114 AB117:AB121 AC31:AC37 R101:X102 R31:X32 AB97:AC97 R92:X93 R79 X79 V79 T79 R7:X7 AC23:AC29 AB27:AB29 R80:X80 R14:X15 R13 T13 R12 T12 R11 T11 V11 V12 V13 X11 X12 X13 R27:X27 R16:R26 X16:X26 V16:V26 T16:T26 R29 T29 R34:X37 R33 T33 V33 X33 R43:X43 R38:R42 T38:T42 V38:V42 X38:X42 R70:X72 R45:R69 T45:T69 V45:V69 X45:X69 R74:X78 R73 X73 V73 T73 R84:R90 T84:T90 V84:V90 X84:X90 R97:X97 R94:R96 T94:T96 V94:V96 X94:X96 R99:R100 T99:T100 V99:V100 X99:X100 R105:X105 R103 T103 R109:X110 R106:R108 T106:T108 V103 V106:V108 R104:V104 X104 X103 X106:X108 R112:X112 R111 T111 V111 X111 X29 R44:V44 X44 R9:X10 R8:V8 X8 R28 X28 V28 T28 R83 X83 V83 R82:X82 R81 V81:X81 T83 T81 V29 R6 T6:X6" formula="1"/>
  </ignoredErrors>
</worksheet>
</file>

<file path=xl/worksheets/sheet6.xml><?xml version="1.0" encoding="utf-8"?>
<worksheet xmlns="http://schemas.openxmlformats.org/spreadsheetml/2006/main" xmlns:r="http://schemas.openxmlformats.org/officeDocument/2006/relationships">
  <dimension ref="B1:AR77"/>
  <sheetViews>
    <sheetView tabSelected="1" zoomScalePageLayoutView="0" workbookViewId="0" topLeftCell="A53">
      <pane xSplit="6" topLeftCell="G1" activePane="topRight" state="frozen"/>
      <selection pane="topLeft" activeCell="A7" sqref="A7"/>
      <selection pane="topRight" activeCell="U74" sqref="U74"/>
    </sheetView>
  </sheetViews>
  <sheetFormatPr defaultColWidth="9.140625" defaultRowHeight="12.75"/>
  <cols>
    <col min="1" max="2" width="3.8515625" style="52" customWidth="1"/>
    <col min="3" max="3" width="5.28125" style="52" customWidth="1"/>
    <col min="4" max="5" width="9.140625" style="52" customWidth="1"/>
    <col min="6" max="6" width="18.57421875" style="52" customWidth="1"/>
    <col min="7" max="7" width="13.57421875" style="149" bestFit="1" customWidth="1"/>
    <col min="8" max="8" width="8.57421875" style="174" bestFit="1" customWidth="1"/>
    <col min="9" max="9" width="14.8515625" style="174" hidden="1" customWidth="1"/>
    <col min="10" max="10" width="8.57421875" style="174" hidden="1" customWidth="1"/>
    <col min="11" max="11" width="14.00390625" style="174" hidden="1" customWidth="1"/>
    <col min="12" max="12" width="7.8515625" style="174" hidden="1" customWidth="1"/>
    <col min="13" max="13" width="14.00390625" style="174" hidden="1" customWidth="1"/>
    <col min="14" max="14" width="7.8515625" style="174" hidden="1" customWidth="1"/>
    <col min="15" max="15" width="14.00390625" style="174" hidden="1" customWidth="1"/>
    <col min="16" max="16" width="8.57421875" style="174" hidden="1" customWidth="1"/>
    <col min="17" max="17" width="14.8515625" style="174" hidden="1" customWidth="1"/>
    <col min="18" max="18" width="8.57421875" style="174" hidden="1" customWidth="1"/>
    <col min="19" max="19" width="14.00390625" style="174" hidden="1" customWidth="1"/>
    <col min="20" max="20" width="8.57421875" style="174" hidden="1" customWidth="1"/>
    <col min="21" max="21" width="14.00390625" style="174" customWidth="1"/>
    <col min="22" max="22" width="7.8515625" style="174" customWidth="1"/>
    <col min="23" max="23" width="14.140625" style="174" customWidth="1"/>
    <col min="24" max="24" width="7.8515625" style="174" customWidth="1"/>
    <col min="25" max="25" width="14.8515625" style="174" customWidth="1"/>
    <col min="26" max="26" width="8.57421875" style="174" customWidth="1"/>
    <col min="27" max="27" width="11.8515625" style="174" customWidth="1"/>
    <col min="28" max="28" width="8.57421875" style="174" customWidth="1"/>
    <col min="29" max="29" width="11.8515625" style="174" customWidth="1"/>
    <col min="30" max="30" width="9.00390625" style="174" customWidth="1"/>
    <col min="31" max="31" width="11.8515625" style="174" customWidth="1"/>
    <col min="32" max="32" width="8.57421875" style="174" customWidth="1"/>
    <col min="33" max="33" width="14.8515625" style="174" customWidth="1"/>
    <col min="34" max="34" width="8.57421875" style="174" bestFit="1" customWidth="1"/>
    <col min="35" max="35" width="11.8515625" style="174" customWidth="1"/>
    <col min="36" max="36" width="7.8515625" style="174" customWidth="1"/>
    <col min="37" max="37" width="11.8515625" style="174" customWidth="1"/>
    <col min="38" max="38" width="8.57421875" style="174" bestFit="1" customWidth="1"/>
    <col min="39" max="39" width="12.8515625" style="52" customWidth="1"/>
    <col min="40" max="40" width="7.8515625" style="52" customWidth="1"/>
    <col min="41" max="41" width="9.140625" style="52" customWidth="1"/>
    <col min="42" max="42" width="12.8515625" style="52" bestFit="1" customWidth="1"/>
    <col min="43" max="43" width="11.28125" style="52" bestFit="1" customWidth="1"/>
    <col min="44" max="44" width="9.57421875" style="52" bestFit="1" customWidth="1"/>
    <col min="45" max="16384" width="9.140625" style="52" customWidth="1"/>
  </cols>
  <sheetData>
    <row r="1" spans="2:40" ht="14.25" customHeight="1">
      <c r="B1" s="150" t="s">
        <v>55</v>
      </c>
      <c r="C1" s="151"/>
      <c r="D1" s="121"/>
      <c r="E1" s="121"/>
      <c r="F1" s="121"/>
      <c r="G1" s="122"/>
      <c r="H1" s="175"/>
      <c r="I1" s="212"/>
      <c r="J1" s="175"/>
      <c r="K1" s="175"/>
      <c r="L1" s="175"/>
      <c r="M1" s="175"/>
      <c r="N1" s="175"/>
      <c r="O1" s="175"/>
      <c r="P1" s="175"/>
      <c r="Q1" s="212"/>
      <c r="R1" s="175"/>
      <c r="S1" s="175"/>
      <c r="T1" s="175"/>
      <c r="U1" s="175"/>
      <c r="V1" s="175"/>
      <c r="W1" s="175"/>
      <c r="X1" s="175"/>
      <c r="Y1" s="212"/>
      <c r="Z1" s="175"/>
      <c r="AA1" s="175"/>
      <c r="AB1" s="175"/>
      <c r="AC1" s="175"/>
      <c r="AD1" s="175"/>
      <c r="AE1" s="175"/>
      <c r="AF1" s="175"/>
      <c r="AG1" s="212"/>
      <c r="AH1" s="189"/>
      <c r="AI1" s="175"/>
      <c r="AJ1" s="175"/>
      <c r="AK1" s="175"/>
      <c r="AL1" s="175"/>
      <c r="AM1" s="122"/>
      <c r="AN1" s="175"/>
    </row>
    <row r="2" spans="2:40" ht="14.25" customHeight="1">
      <c r="B2" s="152" t="str">
        <f>BALANCO!A2</f>
        <v>Demonstrações Contábeis Exercício 2019</v>
      </c>
      <c r="C2" s="153"/>
      <c r="D2" s="126"/>
      <c r="E2" s="126"/>
      <c r="F2" s="126"/>
      <c r="G2" s="127"/>
      <c r="H2" s="176"/>
      <c r="I2" s="213"/>
      <c r="J2" s="176"/>
      <c r="K2" s="176"/>
      <c r="L2" s="176"/>
      <c r="M2" s="176"/>
      <c r="N2" s="176"/>
      <c r="O2" s="176"/>
      <c r="P2" s="176"/>
      <c r="Q2" s="213"/>
      <c r="R2" s="176"/>
      <c r="S2" s="176"/>
      <c r="T2" s="176"/>
      <c r="U2" s="176"/>
      <c r="V2" s="176"/>
      <c r="W2" s="176"/>
      <c r="X2" s="176"/>
      <c r="Y2" s="213"/>
      <c r="Z2" s="176"/>
      <c r="AA2" s="176"/>
      <c r="AB2" s="176"/>
      <c r="AC2" s="176"/>
      <c r="AD2" s="176"/>
      <c r="AE2" s="176"/>
      <c r="AF2" s="176"/>
      <c r="AG2" s="213"/>
      <c r="AH2" s="190"/>
      <c r="AI2" s="176"/>
      <c r="AJ2" s="176"/>
      <c r="AK2" s="176"/>
      <c r="AL2" s="176"/>
      <c r="AM2" s="127"/>
      <c r="AN2" s="176"/>
    </row>
    <row r="3" spans="2:40" ht="12.75">
      <c r="B3" s="154" t="s">
        <v>37</v>
      </c>
      <c r="C3" s="124"/>
      <c r="D3" s="155"/>
      <c r="E3" s="155"/>
      <c r="F3" s="155"/>
      <c r="G3" s="123"/>
      <c r="H3" s="177"/>
      <c r="I3" s="258"/>
      <c r="J3" s="258"/>
      <c r="K3" s="177"/>
      <c r="L3" s="177"/>
      <c r="M3" s="177"/>
      <c r="N3" s="177"/>
      <c r="O3" s="177"/>
      <c r="P3" s="177"/>
      <c r="Q3" s="258"/>
      <c r="R3" s="258"/>
      <c r="S3" s="177"/>
      <c r="T3" s="177"/>
      <c r="U3" s="177"/>
      <c r="V3" s="177"/>
      <c r="W3" s="177"/>
      <c r="X3" s="177"/>
      <c r="Y3" s="258"/>
      <c r="Z3" s="258"/>
      <c r="AA3" s="177"/>
      <c r="AB3" s="177"/>
      <c r="AC3" s="177"/>
      <c r="AD3" s="177"/>
      <c r="AE3" s="177"/>
      <c r="AF3" s="177"/>
      <c r="AG3" s="258"/>
      <c r="AH3" s="259"/>
      <c r="AI3" s="177"/>
      <c r="AJ3" s="177"/>
      <c r="AK3" s="177"/>
      <c r="AL3" s="177"/>
      <c r="AM3" s="123"/>
      <c r="AN3" s="177"/>
    </row>
    <row r="4" spans="2:40" ht="18" customHeight="1">
      <c r="B4" s="156" t="s">
        <v>0</v>
      </c>
      <c r="C4" s="153"/>
      <c r="D4" s="153"/>
      <c r="E4" s="153"/>
      <c r="F4" s="153"/>
      <c r="G4" s="200" t="s">
        <v>283</v>
      </c>
      <c r="H4" s="204" t="s">
        <v>28</v>
      </c>
      <c r="I4" s="240" t="s">
        <v>282</v>
      </c>
      <c r="J4" s="204" t="s">
        <v>28</v>
      </c>
      <c r="K4" s="201">
        <v>43829</v>
      </c>
      <c r="L4" s="204" t="s">
        <v>28</v>
      </c>
      <c r="M4" s="201">
        <v>43799</v>
      </c>
      <c r="N4" s="204" t="s">
        <v>28</v>
      </c>
      <c r="O4" s="201">
        <v>43768</v>
      </c>
      <c r="P4" s="204" t="s">
        <v>28</v>
      </c>
      <c r="Q4" s="240" t="s">
        <v>281</v>
      </c>
      <c r="R4" s="204" t="s">
        <v>28</v>
      </c>
      <c r="S4" s="201">
        <v>43738</v>
      </c>
      <c r="T4" s="204" t="s">
        <v>28</v>
      </c>
      <c r="U4" s="201">
        <v>43708</v>
      </c>
      <c r="V4" s="204" t="s">
        <v>28</v>
      </c>
      <c r="W4" s="201">
        <v>43647</v>
      </c>
      <c r="X4" s="204" t="s">
        <v>28</v>
      </c>
      <c r="Y4" s="240" t="s">
        <v>280</v>
      </c>
      <c r="Z4" s="204" t="s">
        <v>28</v>
      </c>
      <c r="AA4" s="201">
        <v>43617</v>
      </c>
      <c r="AB4" s="204" t="s">
        <v>28</v>
      </c>
      <c r="AC4" s="201">
        <v>43586</v>
      </c>
      <c r="AD4" s="204" t="s">
        <v>28</v>
      </c>
      <c r="AE4" s="201">
        <v>43556</v>
      </c>
      <c r="AF4" s="204" t="s">
        <v>28</v>
      </c>
      <c r="AG4" s="240" t="s">
        <v>279</v>
      </c>
      <c r="AH4" s="204" t="s">
        <v>28</v>
      </c>
      <c r="AI4" s="201">
        <v>43525</v>
      </c>
      <c r="AJ4" s="204" t="s">
        <v>28</v>
      </c>
      <c r="AK4" s="201">
        <v>43497</v>
      </c>
      <c r="AL4" s="178" t="s">
        <v>28</v>
      </c>
      <c r="AM4" s="201">
        <v>43466</v>
      </c>
      <c r="AN4" s="178" t="s">
        <v>28</v>
      </c>
    </row>
    <row r="5" spans="2:40" ht="12.75">
      <c r="B5" s="157"/>
      <c r="C5" s="158" t="s">
        <v>254</v>
      </c>
      <c r="D5" s="158"/>
      <c r="E5" s="158"/>
      <c r="F5" s="158"/>
      <c r="G5" s="148">
        <f>+G7+G19</f>
        <v>5023944.6899999995</v>
      </c>
      <c r="H5" s="72">
        <f>+G5/G$5</f>
        <v>1</v>
      </c>
      <c r="I5" s="214">
        <f>+I7+I19</f>
        <v>0</v>
      </c>
      <c r="J5" s="215" t="e">
        <f>+I5/I$5</f>
        <v>#DIV/0!</v>
      </c>
      <c r="K5" s="148">
        <f>+K7+K19</f>
        <v>0</v>
      </c>
      <c r="L5" s="72" t="e">
        <f>+K5/K$5</f>
        <v>#DIV/0!</v>
      </c>
      <c r="M5" s="148">
        <f>+M7+M19</f>
        <v>0</v>
      </c>
      <c r="N5" s="72" t="e">
        <f>+M5/M$5</f>
        <v>#DIV/0!</v>
      </c>
      <c r="O5" s="148">
        <f>+O7+O19</f>
        <v>0</v>
      </c>
      <c r="P5" s="72" t="e">
        <f>+O5/O$5</f>
        <v>#DIV/0!</v>
      </c>
      <c r="Q5" s="214">
        <f>+Q7+Q19</f>
        <v>1251465.14</v>
      </c>
      <c r="R5" s="215">
        <f>+Q5/Q$5</f>
        <v>1</v>
      </c>
      <c r="S5" s="148">
        <f>+S7+S19</f>
        <v>0</v>
      </c>
      <c r="T5" s="72" t="e">
        <f>+S5/S$5</f>
        <v>#DIV/0!</v>
      </c>
      <c r="U5" s="148">
        <f>+U7+U19</f>
        <v>625880.62</v>
      </c>
      <c r="V5" s="72">
        <f>+U5/U$5</f>
        <v>1</v>
      </c>
      <c r="W5" s="148">
        <f>+W7+W19</f>
        <v>625584.52</v>
      </c>
      <c r="X5" s="72">
        <f>+W5/W$5</f>
        <v>1</v>
      </c>
      <c r="Y5" s="214">
        <f>+Y7+Y19</f>
        <v>2156553.84</v>
      </c>
      <c r="Z5" s="215">
        <f>+Y5/Y$5</f>
        <v>1</v>
      </c>
      <c r="AA5" s="148">
        <f>+AA7+AA19</f>
        <v>857850.3099999999</v>
      </c>
      <c r="AB5" s="72">
        <f>+AA5/AA$5</f>
        <v>1</v>
      </c>
      <c r="AC5" s="148">
        <f>+AC7+AC19</f>
        <v>621822.8099999999</v>
      </c>
      <c r="AD5" s="72">
        <f>+AC5/AC$5</f>
        <v>1</v>
      </c>
      <c r="AE5" s="148">
        <f>+AE7+AE19</f>
        <v>676880.72</v>
      </c>
      <c r="AF5" s="72">
        <f>+AE5/AE$5</f>
        <v>1</v>
      </c>
      <c r="AG5" s="214">
        <f>+AG7+AG19</f>
        <v>1615925.71</v>
      </c>
      <c r="AH5" s="215">
        <f>+AG5/AG$5</f>
        <v>1</v>
      </c>
      <c r="AI5" s="148">
        <f>+AI7+AI19</f>
        <v>598857.1</v>
      </c>
      <c r="AJ5" s="72">
        <f>+AI5/AI$5</f>
        <v>1</v>
      </c>
      <c r="AK5" s="148">
        <f>+AK7+AK19</f>
        <v>462599</v>
      </c>
      <c r="AL5" s="72">
        <f>+AK5/AK$5</f>
        <v>1</v>
      </c>
      <c r="AM5" s="148">
        <f>+AM7+AM19</f>
        <v>554469.61</v>
      </c>
      <c r="AN5" s="72">
        <f>+AM5/AM$5</f>
        <v>1</v>
      </c>
    </row>
    <row r="6" spans="2:40" ht="12.75">
      <c r="B6" s="159"/>
      <c r="C6" s="160"/>
      <c r="D6" s="160"/>
      <c r="E6" s="160"/>
      <c r="F6" s="160"/>
      <c r="G6" s="161"/>
      <c r="H6" s="113"/>
      <c r="I6" s="216"/>
      <c r="J6" s="217"/>
      <c r="K6" s="161"/>
      <c r="L6" s="113"/>
      <c r="M6" s="161"/>
      <c r="N6" s="113"/>
      <c r="O6" s="161"/>
      <c r="P6" s="113"/>
      <c r="Q6" s="216"/>
      <c r="R6" s="217"/>
      <c r="S6" s="161"/>
      <c r="T6" s="113"/>
      <c r="U6" s="161"/>
      <c r="V6" s="113"/>
      <c r="W6" s="161"/>
      <c r="X6" s="113"/>
      <c r="Y6" s="216"/>
      <c r="Z6" s="217"/>
      <c r="AA6" s="161"/>
      <c r="AB6" s="113"/>
      <c r="AC6" s="161"/>
      <c r="AD6" s="113"/>
      <c r="AE6" s="161"/>
      <c r="AF6" s="210"/>
      <c r="AG6" s="216"/>
      <c r="AH6" s="217"/>
      <c r="AI6" s="161"/>
      <c r="AJ6" s="113"/>
      <c r="AK6" s="161"/>
      <c r="AL6" s="113"/>
      <c r="AM6" s="161"/>
      <c r="AN6" s="113"/>
    </row>
    <row r="7" spans="2:42" ht="12.75">
      <c r="B7" s="68" t="s">
        <v>32</v>
      </c>
      <c r="C7" s="50" t="s">
        <v>209</v>
      </c>
      <c r="D7" s="50"/>
      <c r="E7" s="50"/>
      <c r="F7" s="17"/>
      <c r="G7" s="70">
        <f>SUM(G9:G17)</f>
        <v>5088088.77</v>
      </c>
      <c r="H7" s="162">
        <f>G7/G$5</f>
        <v>1.0127676724084318</v>
      </c>
      <c r="I7" s="218">
        <f>SUM(I9:I17)</f>
        <v>0</v>
      </c>
      <c r="J7" s="219" t="e">
        <f>I7/I$5</f>
        <v>#DIV/0!</v>
      </c>
      <c r="K7" s="183">
        <f>SUM(K9:K17)</f>
        <v>0</v>
      </c>
      <c r="L7" s="162" t="e">
        <f>K7/K$5</f>
        <v>#DIV/0!</v>
      </c>
      <c r="M7" s="183">
        <f>SUM(M9:M17)</f>
        <v>0</v>
      </c>
      <c r="N7" s="162" t="e">
        <f>M7/M$5</f>
        <v>#DIV/0!</v>
      </c>
      <c r="O7" s="183">
        <f>SUM(O9:O17)</f>
        <v>0</v>
      </c>
      <c r="P7" s="162" t="e">
        <f>O7/O$5</f>
        <v>#DIV/0!</v>
      </c>
      <c r="Q7" s="218">
        <f>SUM(Q9:Q17)</f>
        <v>1252012.24</v>
      </c>
      <c r="R7" s="219">
        <f>Q7/Q$5</f>
        <v>1.0004371675906212</v>
      </c>
      <c r="S7" s="183">
        <f>SUM(S9:S17)</f>
        <v>0</v>
      </c>
      <c r="T7" s="162" t="e">
        <f>S7/S$5</f>
        <v>#DIV/0!</v>
      </c>
      <c r="U7" s="70">
        <f>SUM(U9:U17)</f>
        <v>626157.76</v>
      </c>
      <c r="V7" s="162">
        <f>U7/U$5</f>
        <v>1.000442800098204</v>
      </c>
      <c r="W7" s="70">
        <f>SUM(W9:W17)</f>
        <v>625854.48</v>
      </c>
      <c r="X7" s="162">
        <f>W7/W$5</f>
        <v>1.0004315324170745</v>
      </c>
      <c r="Y7" s="218">
        <f>SUM(Y9:Y17)</f>
        <v>2220150.82</v>
      </c>
      <c r="Z7" s="219">
        <f>Y7/Y$5</f>
        <v>1.0294900961062952</v>
      </c>
      <c r="AA7" s="70">
        <f>SUM(AA9:AA17)</f>
        <v>881979.1799999999</v>
      </c>
      <c r="AB7" s="162">
        <f>AA7/AA$5</f>
        <v>1.0281271332757342</v>
      </c>
      <c r="AC7" s="70">
        <f>SUM(AC9:AC17)</f>
        <v>661290.9199999999</v>
      </c>
      <c r="AD7" s="162">
        <f>AC7/AC$5</f>
        <v>1.0634716343068855</v>
      </c>
      <c r="AE7" s="70">
        <f>SUM(AE9:AE17)</f>
        <v>676880.72</v>
      </c>
      <c r="AF7" s="209">
        <f>AE7/AE$5</f>
        <v>1</v>
      </c>
      <c r="AG7" s="218">
        <f>SUM(AG9:AG17)</f>
        <v>1615925.71</v>
      </c>
      <c r="AH7" s="219">
        <f>AG7/AG$5</f>
        <v>1</v>
      </c>
      <c r="AI7" s="70">
        <f>SUM(AI9:AI17)</f>
        <v>598857.1</v>
      </c>
      <c r="AJ7" s="162">
        <f>AI7/AI$5</f>
        <v>1</v>
      </c>
      <c r="AK7" s="70">
        <f>SUM(AK9:AK17)</f>
        <v>462599</v>
      </c>
      <c r="AL7" s="162">
        <f>AK7/AK$5</f>
        <v>1</v>
      </c>
      <c r="AM7" s="70">
        <f>SUM(AM9:AM17)</f>
        <v>554469.61</v>
      </c>
      <c r="AN7" s="162">
        <f>AM7/AM$5</f>
        <v>1</v>
      </c>
      <c r="AP7" s="188"/>
    </row>
    <row r="8" spans="2:40" ht="6" customHeight="1">
      <c r="B8" s="68"/>
      <c r="C8" s="53"/>
      <c r="D8" s="17"/>
      <c r="E8" s="17"/>
      <c r="F8" s="17"/>
      <c r="G8" s="192"/>
      <c r="H8" s="163"/>
      <c r="I8" s="220"/>
      <c r="J8" s="221"/>
      <c r="K8" s="192"/>
      <c r="L8" s="163"/>
      <c r="M8" s="192"/>
      <c r="N8" s="163"/>
      <c r="O8" s="192"/>
      <c r="P8" s="163"/>
      <c r="Q8" s="220"/>
      <c r="R8" s="221"/>
      <c r="S8" s="192"/>
      <c r="T8" s="163"/>
      <c r="U8" s="192"/>
      <c r="V8" s="163"/>
      <c r="W8" s="192"/>
      <c r="X8" s="163"/>
      <c r="Y8" s="220"/>
      <c r="Z8" s="221"/>
      <c r="AA8" s="192"/>
      <c r="AB8" s="163"/>
      <c r="AC8" s="192"/>
      <c r="AD8" s="163"/>
      <c r="AE8" s="192"/>
      <c r="AF8" s="211"/>
      <c r="AG8" s="220"/>
      <c r="AH8" s="221"/>
      <c r="AI8" s="192"/>
      <c r="AJ8" s="163"/>
      <c r="AK8" s="192"/>
      <c r="AL8" s="163"/>
      <c r="AM8" s="192"/>
      <c r="AN8" s="163"/>
    </row>
    <row r="9" spans="2:40" ht="12.75">
      <c r="B9" s="68" t="s">
        <v>258</v>
      </c>
      <c r="C9" s="53" t="s">
        <v>259</v>
      </c>
      <c r="D9" s="257" t="s">
        <v>274</v>
      </c>
      <c r="E9" s="257"/>
      <c r="F9" s="257"/>
      <c r="G9" s="202">
        <f>AM9+AK9+AI9+AE9+AC9+AA9+W9+U9+S9+O9+M9+K9</f>
        <v>143957.92</v>
      </c>
      <c r="H9" s="163">
        <f aca="true" t="shared" si="0" ref="H9:H17">+G9/G$5</f>
        <v>0.028654360046308558</v>
      </c>
      <c r="I9" s="222">
        <f>O9+M9+K9</f>
        <v>0</v>
      </c>
      <c r="J9" s="221" t="e">
        <f>+I9/I$5</f>
        <v>#DIV/0!</v>
      </c>
      <c r="K9" s="191"/>
      <c r="L9" s="163" t="e">
        <f>+K9/K$5</f>
        <v>#DIV/0!</v>
      </c>
      <c r="M9" s="191"/>
      <c r="N9" s="163" t="e">
        <f>+M9/M$5</f>
        <v>#DIV/0!</v>
      </c>
      <c r="O9" s="191"/>
      <c r="P9" s="163" t="e">
        <f>+O9/O$5</f>
        <v>#DIV/0!</v>
      </c>
      <c r="Q9" s="222">
        <f>W9+U9+S9</f>
        <v>2759.2200000000003</v>
      </c>
      <c r="R9" s="221">
        <f>+Q9/Q$5</f>
        <v>0.002204791737147389</v>
      </c>
      <c r="S9" s="191"/>
      <c r="T9" s="163" t="e">
        <f>+S9/S$5</f>
        <v>#DIV/0!</v>
      </c>
      <c r="U9" s="191">
        <v>277.27</v>
      </c>
      <c r="V9" s="163">
        <f aca="true" t="shared" si="1" ref="V9:V17">+U9/U$5</f>
        <v>0.00044300780554604803</v>
      </c>
      <c r="W9" s="191">
        <f>2507.88-25.93</f>
        <v>2481.9500000000003</v>
      </c>
      <c r="X9" s="163">
        <f aca="true" t="shared" si="2" ref="X9:X17">+W9/W$5</f>
        <v>0.00396740955163021</v>
      </c>
      <c r="Y9" s="222">
        <f>AE9+AC9+AA9</f>
        <v>141198.7</v>
      </c>
      <c r="Z9" s="221">
        <f>+Y9/Y$5</f>
        <v>0.06547422901345232</v>
      </c>
      <c r="AA9" s="191">
        <f>141554-355.3</f>
        <v>141198.7</v>
      </c>
      <c r="AB9" s="163">
        <f aca="true" t="shared" si="3" ref="AB9:AB17">+AA9/AA$5</f>
        <v>0.16459596546628283</v>
      </c>
      <c r="AC9" s="191">
        <v>0</v>
      </c>
      <c r="AD9" s="163">
        <f aca="true" t="shared" si="4" ref="AD9:AD17">+AC9/AC$5</f>
        <v>0</v>
      </c>
      <c r="AE9" s="191">
        <v>0</v>
      </c>
      <c r="AF9" s="211">
        <f aca="true" t="shared" si="5" ref="AF9:AF17">+AE9/AE$5</f>
        <v>0</v>
      </c>
      <c r="AG9" s="222">
        <f>AM9+AK9+AI9</f>
        <v>0</v>
      </c>
      <c r="AH9" s="221">
        <f>+AG9/AG$5</f>
        <v>0</v>
      </c>
      <c r="AI9" s="191"/>
      <c r="AJ9" s="163">
        <f aca="true" t="shared" si="6" ref="AH9:AJ17">+AI9/AI$5</f>
        <v>0</v>
      </c>
      <c r="AK9" s="191"/>
      <c r="AL9" s="163">
        <f aca="true" t="shared" si="7" ref="AL9:AL17">+AK9/AK$5</f>
        <v>0</v>
      </c>
      <c r="AM9" s="191"/>
      <c r="AN9" s="163">
        <f aca="true" t="shared" si="8" ref="AN9:AN17">+AM9/AM$5</f>
        <v>0</v>
      </c>
    </row>
    <row r="10" spans="2:40" ht="12.75">
      <c r="B10" s="68" t="s">
        <v>32</v>
      </c>
      <c r="C10" s="53" t="s">
        <v>260</v>
      </c>
      <c r="D10" s="257" t="s">
        <v>85</v>
      </c>
      <c r="E10" s="257"/>
      <c r="F10" s="257"/>
      <c r="G10" s="202">
        <f aca="true" t="shared" si="9" ref="G10:G17">AM10+AK10+AI10+AE10+AC10+AA10+W10+U10+S10+O10+M10+K10</f>
        <v>3836361.9099999997</v>
      </c>
      <c r="H10" s="163">
        <f t="shared" si="0"/>
        <v>0.7636154748351738</v>
      </c>
      <c r="I10" s="222">
        <f aca="true" t="shared" si="10" ref="I10:I17">O10+M10+K10</f>
        <v>0</v>
      </c>
      <c r="J10" s="221" t="e">
        <f aca="true" t="shared" si="11" ref="J10:J17">+I10/I$5</f>
        <v>#DIV/0!</v>
      </c>
      <c r="K10" s="202"/>
      <c r="L10" s="163" t="e">
        <f>+K10/K$5</f>
        <v>#DIV/0!</v>
      </c>
      <c r="M10" s="202"/>
      <c r="N10" s="163" t="e">
        <f>+M10/M$5</f>
        <v>#DIV/0!</v>
      </c>
      <c r="O10" s="202"/>
      <c r="P10" s="163" t="e">
        <f>+O10/O$5</f>
        <v>#DIV/0!</v>
      </c>
      <c r="Q10" s="222">
        <f aca="true" t="shared" si="12" ref="Q10:Q17">W10+U10+S10</f>
        <v>1001659.8200000001</v>
      </c>
      <c r="R10" s="221">
        <f aca="true" t="shared" si="13" ref="R10:R17">+Q10/Q$5</f>
        <v>0.8003897096166819</v>
      </c>
      <c r="S10" s="202"/>
      <c r="T10" s="163" t="e">
        <f>+S10/S$5</f>
        <v>#DIV/0!</v>
      </c>
      <c r="U10" s="202">
        <v>523329.19</v>
      </c>
      <c r="V10" s="163">
        <f t="shared" si="1"/>
        <v>0.8361485773437113</v>
      </c>
      <c r="W10" s="202">
        <v>478330.63</v>
      </c>
      <c r="X10" s="163">
        <f t="shared" si="2"/>
        <v>0.7646139165975526</v>
      </c>
      <c r="Y10" s="222">
        <f aca="true" t="shared" si="14" ref="Y10:Y17">AE10+AC10+AA10</f>
        <v>1563054.48</v>
      </c>
      <c r="Z10" s="221">
        <f aca="true" t="shared" si="15" ref="Z10:Z17">+Y10/Y$5</f>
        <v>0.7247926998196345</v>
      </c>
      <c r="AA10" s="202">
        <v>589314.04</v>
      </c>
      <c r="AB10" s="163">
        <f t="shared" si="3"/>
        <v>0.686966051221687</v>
      </c>
      <c r="AC10" s="191">
        <v>419362.42</v>
      </c>
      <c r="AD10" s="163">
        <f t="shared" si="4"/>
        <v>0.6744082289293956</v>
      </c>
      <c r="AE10" s="191">
        <v>554378.02</v>
      </c>
      <c r="AF10" s="211">
        <f t="shared" si="5"/>
        <v>0.8190187777840682</v>
      </c>
      <c r="AG10" s="222">
        <f aca="true" t="shared" si="16" ref="AG10:AG17">AM10+AK10+AI10</f>
        <v>1271647.6099999999</v>
      </c>
      <c r="AH10" s="221">
        <f t="shared" si="6"/>
        <v>0.7869468269057988</v>
      </c>
      <c r="AI10" s="191">
        <v>441866</v>
      </c>
      <c r="AJ10" s="163">
        <f t="shared" si="6"/>
        <v>0.7378488123460505</v>
      </c>
      <c r="AK10" s="191">
        <v>426730.7</v>
      </c>
      <c r="AL10" s="163">
        <f t="shared" si="7"/>
        <v>0.9224635159176738</v>
      </c>
      <c r="AM10" s="191">
        <v>403050.91</v>
      </c>
      <c r="AN10" s="163">
        <f t="shared" si="8"/>
        <v>0.7269125353867455</v>
      </c>
    </row>
    <row r="11" spans="2:40" ht="12.75">
      <c r="B11" s="68" t="s">
        <v>32</v>
      </c>
      <c r="C11" s="53" t="s">
        <v>262</v>
      </c>
      <c r="D11" s="257" t="s">
        <v>131</v>
      </c>
      <c r="E11" s="257"/>
      <c r="F11" s="257"/>
      <c r="G11" s="202">
        <f t="shared" si="9"/>
        <v>449851.3</v>
      </c>
      <c r="H11" s="163">
        <f t="shared" si="0"/>
        <v>0.08954145154014426</v>
      </c>
      <c r="I11" s="222">
        <f t="shared" si="10"/>
        <v>0</v>
      </c>
      <c r="J11" s="221" t="e">
        <f t="shared" si="11"/>
        <v>#DIV/0!</v>
      </c>
      <c r="K11" s="69"/>
      <c r="L11" s="163" t="e">
        <f aca="true" t="shared" si="17" ref="L11:L17">+K11/K$5</f>
        <v>#DIV/0!</v>
      </c>
      <c r="M11" s="69"/>
      <c r="N11" s="163" t="e">
        <f aca="true" t="shared" si="18" ref="N11:N17">+M11/M$5</f>
        <v>#DIV/0!</v>
      </c>
      <c r="O11" s="69"/>
      <c r="P11" s="163" t="e">
        <f aca="true" t="shared" si="19" ref="P11:P17">+O11/O$5</f>
        <v>#DIV/0!</v>
      </c>
      <c r="Q11" s="222">
        <f t="shared" si="12"/>
        <v>124397.20000000001</v>
      </c>
      <c r="R11" s="221">
        <f t="shared" si="13"/>
        <v>0.09940125060135516</v>
      </c>
      <c r="S11" s="69"/>
      <c r="T11" s="163" t="e">
        <f aca="true" t="shared" si="20" ref="T11:T17">+S11/S$5</f>
        <v>#DIV/0!</v>
      </c>
      <c r="U11" s="69">
        <v>61358.3</v>
      </c>
      <c r="V11" s="163">
        <f t="shared" si="1"/>
        <v>0.0980351492589753</v>
      </c>
      <c r="W11" s="69">
        <v>63038.9</v>
      </c>
      <c r="X11" s="163">
        <f t="shared" si="2"/>
        <v>0.10076799854318645</v>
      </c>
      <c r="Y11" s="222">
        <f t="shared" si="14"/>
        <v>178273</v>
      </c>
      <c r="Z11" s="221">
        <f t="shared" si="15"/>
        <v>0.08266568480386283</v>
      </c>
      <c r="AA11" s="69">
        <v>57127.8</v>
      </c>
      <c r="AB11" s="163">
        <f t="shared" si="3"/>
        <v>0.06659413575312459</v>
      </c>
      <c r="AC11" s="191">
        <v>60283.5</v>
      </c>
      <c r="AD11" s="163">
        <f t="shared" si="4"/>
        <v>0.09694642755224757</v>
      </c>
      <c r="AE11" s="191">
        <v>60861.7</v>
      </c>
      <c r="AF11" s="211">
        <f t="shared" si="5"/>
        <v>0.08991495576945965</v>
      </c>
      <c r="AG11" s="222">
        <f t="shared" si="16"/>
        <v>147181.1</v>
      </c>
      <c r="AH11" s="221">
        <f t="shared" si="6"/>
        <v>0.09108160052729157</v>
      </c>
      <c r="AI11" s="191">
        <v>66169.1</v>
      </c>
      <c r="AJ11" s="163">
        <f t="shared" si="6"/>
        <v>0.11049230275469725</v>
      </c>
      <c r="AK11" s="191">
        <v>12320.3</v>
      </c>
      <c r="AL11" s="163">
        <f t="shared" si="7"/>
        <v>0.02663278563075147</v>
      </c>
      <c r="AM11" s="191">
        <v>68691.7</v>
      </c>
      <c r="AN11" s="163">
        <f t="shared" si="8"/>
        <v>0.12388722260179418</v>
      </c>
    </row>
    <row r="12" spans="2:40" ht="12.75">
      <c r="B12" s="68" t="s">
        <v>32</v>
      </c>
      <c r="C12" s="53" t="s">
        <v>261</v>
      </c>
      <c r="D12" s="257" t="s">
        <v>132</v>
      </c>
      <c r="E12" s="257"/>
      <c r="F12" s="257"/>
      <c r="G12" s="202">
        <f t="shared" si="9"/>
        <v>1840</v>
      </c>
      <c r="H12" s="163">
        <f t="shared" si="0"/>
        <v>0.00036624607027670126</v>
      </c>
      <c r="I12" s="222">
        <f t="shared" si="10"/>
        <v>0</v>
      </c>
      <c r="J12" s="221" t="e">
        <f t="shared" si="11"/>
        <v>#DIV/0!</v>
      </c>
      <c r="K12" s="69"/>
      <c r="L12" s="163" t="e">
        <f t="shared" si="17"/>
        <v>#DIV/0!</v>
      </c>
      <c r="M12" s="69"/>
      <c r="N12" s="163" t="e">
        <f t="shared" si="18"/>
        <v>#DIV/0!</v>
      </c>
      <c r="O12" s="69"/>
      <c r="P12" s="163" t="e">
        <f t="shared" si="19"/>
        <v>#DIV/0!</v>
      </c>
      <c r="Q12" s="222">
        <f t="shared" si="12"/>
        <v>430</v>
      </c>
      <c r="R12" s="221">
        <f t="shared" si="13"/>
        <v>0.00034359726552191463</v>
      </c>
      <c r="S12" s="69"/>
      <c r="T12" s="163" t="e">
        <f t="shared" si="20"/>
        <v>#DIV/0!</v>
      </c>
      <c r="U12" s="69">
        <v>165</v>
      </c>
      <c r="V12" s="163">
        <f t="shared" si="1"/>
        <v>0.00026362854948280715</v>
      </c>
      <c r="W12" s="69">
        <v>265</v>
      </c>
      <c r="X12" s="163">
        <f t="shared" si="2"/>
        <v>0.00042360383214085925</v>
      </c>
      <c r="Y12" s="222">
        <f t="shared" si="14"/>
        <v>575</v>
      </c>
      <c r="Z12" s="221">
        <f t="shared" si="15"/>
        <v>0.00026662909561302677</v>
      </c>
      <c r="AA12" s="69">
        <v>210</v>
      </c>
      <c r="AB12" s="163">
        <f t="shared" si="3"/>
        <v>0.00024479795315338873</v>
      </c>
      <c r="AC12" s="191">
        <v>155</v>
      </c>
      <c r="AD12" s="163">
        <f t="shared" si="4"/>
        <v>0.00024926715055692474</v>
      </c>
      <c r="AE12" s="191">
        <v>210</v>
      </c>
      <c r="AF12" s="211">
        <f t="shared" si="5"/>
        <v>0.00031024668570852487</v>
      </c>
      <c r="AG12" s="222">
        <f t="shared" si="16"/>
        <v>835</v>
      </c>
      <c r="AH12" s="221">
        <f t="shared" si="6"/>
        <v>0.000516731675740217</v>
      </c>
      <c r="AI12" s="191">
        <v>250</v>
      </c>
      <c r="AJ12" s="163">
        <f t="shared" si="6"/>
        <v>0.0004174618619366791</v>
      </c>
      <c r="AK12" s="191">
        <v>240</v>
      </c>
      <c r="AL12" s="163">
        <f t="shared" si="7"/>
        <v>0.0005188078659919283</v>
      </c>
      <c r="AM12" s="191">
        <v>345</v>
      </c>
      <c r="AN12" s="163">
        <f t="shared" si="8"/>
        <v>0.0006222162473431141</v>
      </c>
    </row>
    <row r="13" spans="2:40" ht="12.75">
      <c r="B13" s="68" t="s">
        <v>32</v>
      </c>
      <c r="C13" s="53" t="s">
        <v>263</v>
      </c>
      <c r="D13" s="257" t="s">
        <v>210</v>
      </c>
      <c r="E13" s="257"/>
      <c r="F13" s="257"/>
      <c r="G13" s="202">
        <f t="shared" si="9"/>
        <v>213365.64</v>
      </c>
      <c r="H13" s="163">
        <f t="shared" si="0"/>
        <v>0.04246974303373552</v>
      </c>
      <c r="I13" s="222">
        <f t="shared" si="10"/>
        <v>0</v>
      </c>
      <c r="J13" s="221" t="e">
        <f t="shared" si="11"/>
        <v>#DIV/0!</v>
      </c>
      <c r="K13" s="202"/>
      <c r="L13" s="163" t="e">
        <f t="shared" si="17"/>
        <v>#DIV/0!</v>
      </c>
      <c r="M13" s="202"/>
      <c r="N13" s="163" t="e">
        <f t="shared" si="18"/>
        <v>#DIV/0!</v>
      </c>
      <c r="O13" s="202"/>
      <c r="P13" s="163" t="e">
        <f t="shared" si="19"/>
        <v>#DIV/0!</v>
      </c>
      <c r="Q13" s="222">
        <f t="shared" si="12"/>
        <v>11830</v>
      </c>
      <c r="R13" s="221">
        <f t="shared" si="13"/>
        <v>0.009452920118893603</v>
      </c>
      <c r="S13" s="202"/>
      <c r="T13" s="163" t="e">
        <f t="shared" si="20"/>
        <v>#DIV/0!</v>
      </c>
      <c r="U13" s="202">
        <v>680</v>
      </c>
      <c r="V13" s="163">
        <f t="shared" si="1"/>
        <v>0.0010864691736261142</v>
      </c>
      <c r="W13" s="202">
        <f>11250-100</f>
        <v>11150</v>
      </c>
      <c r="X13" s="163">
        <f t="shared" si="2"/>
        <v>0.01782333105045502</v>
      </c>
      <c r="Y13" s="222">
        <f t="shared" si="14"/>
        <v>184725.64</v>
      </c>
      <c r="Z13" s="221">
        <f t="shared" si="15"/>
        <v>0.08565779187780447</v>
      </c>
      <c r="AA13" s="202">
        <v>40990.64</v>
      </c>
      <c r="AB13" s="163">
        <f t="shared" si="3"/>
        <v>0.04778297509736868</v>
      </c>
      <c r="AC13" s="191">
        <v>133310</v>
      </c>
      <c r="AD13" s="163">
        <f t="shared" si="4"/>
        <v>0.21438583123060412</v>
      </c>
      <c r="AE13" s="191">
        <v>10425</v>
      </c>
      <c r="AF13" s="211">
        <f t="shared" si="5"/>
        <v>0.015401531897673197</v>
      </c>
      <c r="AG13" s="222">
        <f t="shared" si="16"/>
        <v>16810</v>
      </c>
      <c r="AH13" s="221">
        <f t="shared" si="6"/>
        <v>0.0104027059511294</v>
      </c>
      <c r="AI13" s="191">
        <v>11870</v>
      </c>
      <c r="AJ13" s="163">
        <f t="shared" si="6"/>
        <v>0.019821089204753523</v>
      </c>
      <c r="AK13" s="191">
        <v>2030</v>
      </c>
      <c r="AL13" s="163">
        <f t="shared" si="7"/>
        <v>0.00438824986651506</v>
      </c>
      <c r="AM13" s="191">
        <v>2910</v>
      </c>
      <c r="AN13" s="163">
        <f t="shared" si="8"/>
        <v>0.005248258781937571</v>
      </c>
    </row>
    <row r="14" spans="2:40" ht="12.75">
      <c r="B14" s="68" t="s">
        <v>32</v>
      </c>
      <c r="C14" s="53" t="s">
        <v>266</v>
      </c>
      <c r="D14" s="257" t="s">
        <v>250</v>
      </c>
      <c r="E14" s="257"/>
      <c r="F14" s="257"/>
      <c r="G14" s="202">
        <f>AM14+AK14+AI14+AE14+AC14+AA14+W14+U14+S14+O14+M14+K14</f>
        <v>307980</v>
      </c>
      <c r="H14" s="163">
        <f t="shared" si="0"/>
        <v>0.06130242648033612</v>
      </c>
      <c r="I14" s="222">
        <f t="shared" si="10"/>
        <v>0</v>
      </c>
      <c r="J14" s="221" t="e">
        <f t="shared" si="11"/>
        <v>#DIV/0!</v>
      </c>
      <c r="K14" s="191"/>
      <c r="L14" s="163" t="e">
        <f t="shared" si="17"/>
        <v>#DIV/0!</v>
      </c>
      <c r="M14" s="191"/>
      <c r="N14" s="163" t="e">
        <f t="shared" si="18"/>
        <v>#DIV/0!</v>
      </c>
      <c r="O14" s="191"/>
      <c r="P14" s="163" t="e">
        <f t="shared" si="19"/>
        <v>#DIV/0!</v>
      </c>
      <c r="Q14" s="222">
        <f t="shared" si="12"/>
        <v>79390</v>
      </c>
      <c r="R14" s="221">
        <f t="shared" si="13"/>
        <v>0.06343764397624373</v>
      </c>
      <c r="S14" s="191"/>
      <c r="T14" s="163" t="e">
        <f t="shared" si="20"/>
        <v>#DIV/0!</v>
      </c>
      <c r="U14" s="191">
        <v>29940</v>
      </c>
      <c r="V14" s="163">
        <f t="shared" si="1"/>
        <v>0.04783659861524391</v>
      </c>
      <c r="W14" s="191">
        <f>37500-13000+24950</f>
        <v>49450</v>
      </c>
      <c r="X14" s="163">
        <f t="shared" si="2"/>
        <v>0.07904607358251128</v>
      </c>
      <c r="Y14" s="222">
        <f t="shared" si="14"/>
        <v>94810</v>
      </c>
      <c r="Z14" s="221">
        <f t="shared" si="15"/>
        <v>0.04396366009577577</v>
      </c>
      <c r="AA14" s="191">
        <v>34930</v>
      </c>
      <c r="AB14" s="163">
        <f t="shared" si="3"/>
        <v>0.04071805954118033</v>
      </c>
      <c r="AC14" s="191">
        <v>29940</v>
      </c>
      <c r="AD14" s="163">
        <f t="shared" si="4"/>
        <v>0.048148764436608565</v>
      </c>
      <c r="AE14" s="191">
        <v>29940</v>
      </c>
      <c r="AF14" s="211">
        <f t="shared" si="5"/>
        <v>0.0442323131910154</v>
      </c>
      <c r="AG14" s="222">
        <f t="shared" si="16"/>
        <v>133780</v>
      </c>
      <c r="AH14" s="221">
        <f t="shared" si="6"/>
        <v>0.08278845937787574</v>
      </c>
      <c r="AI14" s="191">
        <v>54890</v>
      </c>
      <c r="AJ14" s="163">
        <f t="shared" si="6"/>
        <v>0.09165792640681726</v>
      </c>
      <c r="AK14" s="191">
        <v>14970</v>
      </c>
      <c r="AL14" s="163">
        <f t="shared" si="7"/>
        <v>0.032360640641246524</v>
      </c>
      <c r="AM14" s="191">
        <f>36000-12000+39920</f>
        <v>63920</v>
      </c>
      <c r="AN14" s="163">
        <f t="shared" si="8"/>
        <v>0.11528134066716479</v>
      </c>
    </row>
    <row r="15" spans="2:40" ht="12" customHeight="1">
      <c r="B15" s="68" t="s">
        <v>32</v>
      </c>
      <c r="C15" s="53" t="s">
        <v>264</v>
      </c>
      <c r="D15" s="257" t="s">
        <v>86</v>
      </c>
      <c r="E15" s="257"/>
      <c r="F15" s="257"/>
      <c r="G15" s="202">
        <f t="shared" si="9"/>
        <v>3150</v>
      </c>
      <c r="H15" s="163">
        <f t="shared" si="0"/>
        <v>0.0006269973485715266</v>
      </c>
      <c r="I15" s="222">
        <f t="shared" si="10"/>
        <v>0</v>
      </c>
      <c r="J15" s="221" t="e">
        <f t="shared" si="11"/>
        <v>#DIV/0!</v>
      </c>
      <c r="K15" s="191"/>
      <c r="L15" s="163" t="e">
        <f t="shared" si="17"/>
        <v>#DIV/0!</v>
      </c>
      <c r="M15" s="191"/>
      <c r="N15" s="163" t="e">
        <f t="shared" si="18"/>
        <v>#DIV/0!</v>
      </c>
      <c r="O15" s="191"/>
      <c r="P15" s="163" t="e">
        <f t="shared" si="19"/>
        <v>#DIV/0!</v>
      </c>
      <c r="Q15" s="222">
        <f t="shared" si="12"/>
        <v>250</v>
      </c>
      <c r="R15" s="221">
        <f t="shared" si="13"/>
        <v>0.00019976585204762478</v>
      </c>
      <c r="S15" s="191"/>
      <c r="T15" s="163" t="e">
        <f t="shared" si="20"/>
        <v>#DIV/0!</v>
      </c>
      <c r="U15" s="191">
        <v>200</v>
      </c>
      <c r="V15" s="163">
        <f t="shared" si="1"/>
        <v>0.00031954975694885714</v>
      </c>
      <c r="W15" s="191">
        <v>50</v>
      </c>
      <c r="X15" s="163">
        <f t="shared" si="2"/>
        <v>7.992525134733194E-05</v>
      </c>
      <c r="Y15" s="222">
        <f t="shared" si="14"/>
        <v>1050</v>
      </c>
      <c r="Z15" s="221">
        <f t="shared" si="15"/>
        <v>0.0004868879137281358</v>
      </c>
      <c r="AA15" s="191">
        <v>150</v>
      </c>
      <c r="AB15" s="163">
        <f t="shared" si="3"/>
        <v>0.0001748556808238491</v>
      </c>
      <c r="AC15" s="191">
        <v>650</v>
      </c>
      <c r="AD15" s="163">
        <f t="shared" si="4"/>
        <v>0.0010453138571742005</v>
      </c>
      <c r="AE15" s="191">
        <v>250</v>
      </c>
      <c r="AF15" s="211">
        <f t="shared" si="5"/>
        <v>0.0003693412925101486</v>
      </c>
      <c r="AG15" s="222">
        <f t="shared" si="16"/>
        <v>1850</v>
      </c>
      <c r="AH15" s="221">
        <f t="shared" si="6"/>
        <v>0.001144854610921439</v>
      </c>
      <c r="AI15" s="191">
        <v>750</v>
      </c>
      <c r="AJ15" s="163">
        <f t="shared" si="6"/>
        <v>0.0012523855858100372</v>
      </c>
      <c r="AK15" s="191">
        <v>650</v>
      </c>
      <c r="AL15" s="163">
        <f t="shared" si="7"/>
        <v>0.0014051046370614723</v>
      </c>
      <c r="AM15" s="191">
        <v>450</v>
      </c>
      <c r="AN15" s="163">
        <f t="shared" si="8"/>
        <v>0.0008115864095779749</v>
      </c>
    </row>
    <row r="16" spans="2:40" ht="12.75">
      <c r="B16" s="68" t="s">
        <v>32</v>
      </c>
      <c r="C16" s="53" t="s">
        <v>265</v>
      </c>
      <c r="D16" s="257" t="s">
        <v>252</v>
      </c>
      <c r="E16" s="257"/>
      <c r="F16" s="257"/>
      <c r="G16" s="202">
        <f t="shared" si="9"/>
        <v>128671.99999999993</v>
      </c>
      <c r="H16" s="163">
        <f t="shared" si="0"/>
        <v>0.025611746931871564</v>
      </c>
      <c r="I16" s="222">
        <f t="shared" si="10"/>
        <v>0</v>
      </c>
      <c r="J16" s="221" t="e">
        <f t="shared" si="11"/>
        <v>#DIV/0!</v>
      </c>
      <c r="K16" s="191"/>
      <c r="L16" s="163" t="e">
        <f t="shared" si="17"/>
        <v>#DIV/0!</v>
      </c>
      <c r="M16" s="191"/>
      <c r="N16" s="163" t="e">
        <f t="shared" si="18"/>
        <v>#DIV/0!</v>
      </c>
      <c r="O16" s="191"/>
      <c r="P16" s="163" t="e">
        <f t="shared" si="19"/>
        <v>#DIV/0!</v>
      </c>
      <c r="Q16" s="222">
        <f t="shared" si="12"/>
        <v>28386.000000000015</v>
      </c>
      <c r="R16" s="221">
        <f t="shared" si="13"/>
        <v>0.02268221390489552</v>
      </c>
      <c r="S16" s="191"/>
      <c r="T16" s="163" t="e">
        <f t="shared" si="20"/>
        <v>#DIV/0!</v>
      </c>
      <c r="U16" s="191">
        <f>625200.49-U10-U11-U12-U14-U15</f>
        <v>10207.999999999985</v>
      </c>
      <c r="V16" s="163">
        <f t="shared" si="1"/>
        <v>0.016309819594669643</v>
      </c>
      <c r="W16" s="191">
        <f>622312.53-13000-W10-W11-W12-W14-W15</f>
        <v>18178.00000000003</v>
      </c>
      <c r="X16" s="163">
        <f t="shared" si="2"/>
        <v>0.029057624379836042</v>
      </c>
      <c r="Y16" s="222">
        <f t="shared" si="14"/>
        <v>56463.99999999994</v>
      </c>
      <c r="Z16" s="221">
        <f t="shared" si="15"/>
        <v>0.02618251348642422</v>
      </c>
      <c r="AA16" s="191">
        <f>699789.84-AA10-AA11-AA12-AA14-AA15</f>
        <v>18057.999999999927</v>
      </c>
      <c r="AB16" s="163">
        <f t="shared" si="3"/>
        <v>0.021050292562113698</v>
      </c>
      <c r="AC16" s="191">
        <f>527980.92-AC10-AC11-AC12-AC14-AC15</f>
        <v>17590.00000000006</v>
      </c>
      <c r="AD16" s="163">
        <f t="shared" si="4"/>
        <v>0.028287801150298844</v>
      </c>
      <c r="AE16" s="191">
        <f>666455.72-AE10-AE11-AE12-AE14-AE15</f>
        <v>20815.999999999956</v>
      </c>
      <c r="AF16" s="211">
        <f t="shared" si="5"/>
        <v>0.03075283337956495</v>
      </c>
      <c r="AG16" s="222">
        <f t="shared" si="16"/>
        <v>43821.99999999997</v>
      </c>
      <c r="AH16" s="221">
        <f t="shared" si="6"/>
        <v>0.027118820951242847</v>
      </c>
      <c r="AI16" s="191">
        <f>586987.1-AI10-AI11-AI12-AI14-AI15</f>
        <v>23061.99999999997</v>
      </c>
      <c r="AJ16" s="163">
        <f t="shared" si="6"/>
        <v>0.038510021839934724</v>
      </c>
      <c r="AK16" s="191">
        <f>460569-AK10-AK11-AK12-AK14-AK15</f>
        <v>5657.999999999989</v>
      </c>
      <c r="AL16" s="163">
        <f t="shared" si="7"/>
        <v>0.012230895440759684</v>
      </c>
      <c r="AM16" s="191">
        <f>486844.61-AM10-AM11</f>
        <v>15102.000000000015</v>
      </c>
      <c r="AN16" s="163">
        <f t="shared" si="8"/>
        <v>0.027236839905436863</v>
      </c>
    </row>
    <row r="17" spans="2:40" ht="12.75">
      <c r="B17" s="68" t="s">
        <v>32</v>
      </c>
      <c r="C17" s="53" t="s">
        <v>275</v>
      </c>
      <c r="D17" s="257" t="s">
        <v>278</v>
      </c>
      <c r="E17" s="257"/>
      <c r="F17" s="257"/>
      <c r="G17" s="202">
        <f t="shared" si="9"/>
        <v>2910</v>
      </c>
      <c r="H17" s="163">
        <f t="shared" si="0"/>
        <v>0.000579226122013696</v>
      </c>
      <c r="I17" s="222">
        <f t="shared" si="10"/>
        <v>0</v>
      </c>
      <c r="J17" s="221" t="e">
        <f t="shared" si="11"/>
        <v>#DIV/0!</v>
      </c>
      <c r="K17" s="191"/>
      <c r="L17" s="163" t="e">
        <f t="shared" si="17"/>
        <v>#DIV/0!</v>
      </c>
      <c r="M17" s="191"/>
      <c r="N17" s="163" t="e">
        <f t="shared" si="18"/>
        <v>#DIV/0!</v>
      </c>
      <c r="O17" s="191"/>
      <c r="P17" s="163" t="e">
        <f t="shared" si="19"/>
        <v>#DIV/0!</v>
      </c>
      <c r="Q17" s="222">
        <f t="shared" si="12"/>
        <v>2910</v>
      </c>
      <c r="R17" s="221">
        <f t="shared" si="13"/>
        <v>0.0023252745178343522</v>
      </c>
      <c r="S17" s="191"/>
      <c r="T17" s="163" t="e">
        <f t="shared" si="20"/>
        <v>#DIV/0!</v>
      </c>
      <c r="U17" s="191">
        <v>0</v>
      </c>
      <c r="V17" s="163">
        <f t="shared" si="1"/>
        <v>0</v>
      </c>
      <c r="W17" s="191">
        <f>3000-90</f>
        <v>2910</v>
      </c>
      <c r="X17" s="163">
        <f t="shared" si="2"/>
        <v>0.004651649628414719</v>
      </c>
      <c r="Y17" s="222">
        <f t="shared" si="14"/>
        <v>0</v>
      </c>
      <c r="Z17" s="221">
        <f t="shared" si="15"/>
        <v>0</v>
      </c>
      <c r="AA17" s="191"/>
      <c r="AB17" s="163">
        <f t="shared" si="3"/>
        <v>0</v>
      </c>
      <c r="AC17" s="191"/>
      <c r="AD17" s="163">
        <f t="shared" si="4"/>
        <v>0</v>
      </c>
      <c r="AE17" s="191">
        <v>0</v>
      </c>
      <c r="AF17" s="211">
        <f t="shared" si="5"/>
        <v>0</v>
      </c>
      <c r="AG17" s="222">
        <f t="shared" si="16"/>
        <v>0</v>
      </c>
      <c r="AH17" s="221">
        <f t="shared" si="6"/>
        <v>0</v>
      </c>
      <c r="AI17" s="191"/>
      <c r="AJ17" s="163">
        <f t="shared" si="6"/>
        <v>0</v>
      </c>
      <c r="AK17" s="191">
        <v>0</v>
      </c>
      <c r="AL17" s="163">
        <f t="shared" si="7"/>
        <v>0</v>
      </c>
      <c r="AM17" s="191">
        <v>0</v>
      </c>
      <c r="AN17" s="163">
        <f t="shared" si="8"/>
        <v>0</v>
      </c>
    </row>
    <row r="18" spans="2:40" ht="8.25" customHeight="1">
      <c r="B18" s="68"/>
      <c r="C18" s="53"/>
      <c r="D18" s="257"/>
      <c r="E18" s="257"/>
      <c r="F18" s="257"/>
      <c r="G18" s="70"/>
      <c r="H18" s="163"/>
      <c r="I18" s="220"/>
      <c r="J18" s="221"/>
      <c r="K18" s="70"/>
      <c r="L18" s="163"/>
      <c r="M18" s="70"/>
      <c r="N18" s="163"/>
      <c r="O18" s="70"/>
      <c r="P18" s="163"/>
      <c r="Q18" s="220"/>
      <c r="R18" s="221"/>
      <c r="S18" s="70"/>
      <c r="T18" s="163"/>
      <c r="U18" s="70"/>
      <c r="V18" s="163"/>
      <c r="W18" s="70"/>
      <c r="X18" s="163"/>
      <c r="Y18" s="220"/>
      <c r="Z18" s="221"/>
      <c r="AA18" s="70"/>
      <c r="AB18" s="163"/>
      <c r="AC18" s="70"/>
      <c r="AD18" s="163"/>
      <c r="AE18" s="70"/>
      <c r="AF18" s="211"/>
      <c r="AG18" s="220"/>
      <c r="AH18" s="221"/>
      <c r="AI18" s="70"/>
      <c r="AJ18" s="163"/>
      <c r="AK18" s="70"/>
      <c r="AL18" s="163"/>
      <c r="AM18" s="70"/>
      <c r="AN18" s="163"/>
    </row>
    <row r="19" spans="2:40" ht="12.75">
      <c r="B19" s="164" t="s">
        <v>53</v>
      </c>
      <c r="C19" s="50" t="s">
        <v>211</v>
      </c>
      <c r="D19" s="50"/>
      <c r="E19" s="165"/>
      <c r="F19" s="50"/>
      <c r="G19" s="183">
        <f>SUM(G20:G22)</f>
        <v>-64144.079999999994</v>
      </c>
      <c r="H19" s="162">
        <f>+G19/G$5</f>
        <v>-0.01276767240843171</v>
      </c>
      <c r="I19" s="218">
        <f>SUM(I20:I22)</f>
        <v>0</v>
      </c>
      <c r="J19" s="219" t="e">
        <f>+I19/I$5</f>
        <v>#DIV/0!</v>
      </c>
      <c r="K19" s="70">
        <f>SUM(K20:K22)</f>
        <v>0</v>
      </c>
      <c r="L19" s="162" t="e">
        <f>+K19/K$5</f>
        <v>#DIV/0!</v>
      </c>
      <c r="M19" s="70">
        <f>SUM(M20:M22)</f>
        <v>0</v>
      </c>
      <c r="N19" s="162" t="e">
        <f>+M19/M$5</f>
        <v>#DIV/0!</v>
      </c>
      <c r="O19" s="70">
        <f>SUM(O20:O22)</f>
        <v>0</v>
      </c>
      <c r="P19" s="162" t="e">
        <f>+O19/O$5</f>
        <v>#DIV/0!</v>
      </c>
      <c r="Q19" s="218">
        <f>SUM(Q20:Q22)</f>
        <v>-547.1</v>
      </c>
      <c r="R19" s="219">
        <f>+Q19/Q$5</f>
        <v>-0.00043716759062102206</v>
      </c>
      <c r="S19" s="70">
        <f>SUM(S20:S22)</f>
        <v>0</v>
      </c>
      <c r="T19" s="162" t="e">
        <f>+S19/S$5</f>
        <v>#DIV/0!</v>
      </c>
      <c r="U19" s="70">
        <f>SUM(U20:U22)</f>
        <v>-277.14</v>
      </c>
      <c r="V19" s="162">
        <f>+U19/U$5</f>
        <v>-0.0004428000982040313</v>
      </c>
      <c r="W19" s="70">
        <f>SUM(W20:W22)</f>
        <v>-269.96000000000004</v>
      </c>
      <c r="X19" s="162">
        <f>+W19/W$5</f>
        <v>-0.0004315324170745146</v>
      </c>
      <c r="Y19" s="218">
        <f>SUM(Y20:Y22)</f>
        <v>-63596.979999999996</v>
      </c>
      <c r="Z19" s="219">
        <f>+Y19/Y$5</f>
        <v>-0.02949009610629522</v>
      </c>
      <c r="AA19" s="70">
        <f>SUM(AA20:AA22)</f>
        <v>-24128.87</v>
      </c>
      <c r="AB19" s="162">
        <f>+AA19/AA$5</f>
        <v>-0.02812713327573432</v>
      </c>
      <c r="AC19" s="70">
        <f>SUM(AC20:AC22)</f>
        <v>-39468.11</v>
      </c>
      <c r="AD19" s="162">
        <f>+AC19/AC$5</f>
        <v>-0.0634716343068856</v>
      </c>
      <c r="AE19" s="70">
        <f>SUM(AE20:AE22)</f>
        <v>0</v>
      </c>
      <c r="AF19" s="209">
        <f>+AE19/AE$5</f>
        <v>0</v>
      </c>
      <c r="AG19" s="218">
        <f>SUM(AG20:AG22)</f>
        <v>0</v>
      </c>
      <c r="AH19" s="219">
        <f>+AG19/AG$5</f>
        <v>0</v>
      </c>
      <c r="AI19" s="70">
        <f>SUM(AI20:AI22)</f>
        <v>0</v>
      </c>
      <c r="AJ19" s="162">
        <f>+AI19/AI$5</f>
        <v>0</v>
      </c>
      <c r="AK19" s="70">
        <f>SUM(AK20:AK22)</f>
        <v>0</v>
      </c>
      <c r="AL19" s="162">
        <f>+AK19/AK$5</f>
        <v>0</v>
      </c>
      <c r="AM19" s="70">
        <f>SUM(AM20:AM22)</f>
        <v>0</v>
      </c>
      <c r="AN19" s="162">
        <f>+AM19/AM$5</f>
        <v>0</v>
      </c>
    </row>
    <row r="20" spans="2:40" ht="12.75">
      <c r="B20" s="68" t="s">
        <v>53</v>
      </c>
      <c r="C20" s="53" t="s">
        <v>256</v>
      </c>
      <c r="D20" s="17" t="s">
        <v>251</v>
      </c>
      <c r="E20" s="50"/>
      <c r="F20" s="50"/>
      <c r="G20" s="202">
        <f>AM20+AK20+AI20+AE20+AC20+AA20+W20+U20+S20+O20+M20+K20</f>
        <v>-64302.35999999999</v>
      </c>
      <c r="H20" s="163">
        <f>+G20/G$5</f>
        <v>-0.0127991775323466</v>
      </c>
      <c r="I20" s="222">
        <f>O20+M20+K20</f>
        <v>0</v>
      </c>
      <c r="J20" s="221" t="e">
        <f>+I20/I$5</f>
        <v>#DIV/0!</v>
      </c>
      <c r="K20" s="69"/>
      <c r="L20" s="163" t="e">
        <f>+K20/K$5</f>
        <v>#DIV/0!</v>
      </c>
      <c r="M20" s="69"/>
      <c r="N20" s="163" t="e">
        <f>+M20/M$5</f>
        <v>#DIV/0!</v>
      </c>
      <c r="O20" s="69"/>
      <c r="P20" s="163" t="e">
        <f>+O20/O$5</f>
        <v>#DIV/0!</v>
      </c>
      <c r="Q20" s="222">
        <f>W20+U20+S20</f>
        <v>-547.1</v>
      </c>
      <c r="R20" s="221">
        <f>+Q20/Q$5</f>
        <v>-0.00043716759062102206</v>
      </c>
      <c r="S20" s="69"/>
      <c r="T20" s="163" t="e">
        <f>+S20/S$5</f>
        <v>#DIV/0!</v>
      </c>
      <c r="U20" s="69">
        <v>-277.14</v>
      </c>
      <c r="V20" s="163">
        <f>+U20/U$5</f>
        <v>-0.0004428000982040313</v>
      </c>
      <c r="W20" s="69">
        <f>-2507.88+2237.92</f>
        <v>-269.96000000000004</v>
      </c>
      <c r="X20" s="163">
        <f>+W20/W$5</f>
        <v>-0.0004315324170745146</v>
      </c>
      <c r="Y20" s="222">
        <f>AE20+AC20+AA20</f>
        <v>-63755.259999999995</v>
      </c>
      <c r="Z20" s="221">
        <f>+Y20/Y$5</f>
        <v>-0.029563490981518923</v>
      </c>
      <c r="AA20" s="69">
        <f>-30035.19+5906.32</f>
        <v>-24128.87</v>
      </c>
      <c r="AB20" s="163">
        <f>+AA20/AA$5</f>
        <v>-0.02812713327573432</v>
      </c>
      <c r="AC20" s="69">
        <f>-1438.9-38187.49</f>
        <v>-39626.39</v>
      </c>
      <c r="AD20" s="163">
        <f>+AC20/AC$5</f>
        <v>-0.06372617627198333</v>
      </c>
      <c r="AE20" s="69"/>
      <c r="AF20" s="211">
        <f>+AE20/AE$5</f>
        <v>0</v>
      </c>
      <c r="AG20" s="222">
        <f>AM20+AK20+AI20</f>
        <v>0</v>
      </c>
      <c r="AH20" s="221">
        <f>+AG20/AG$5</f>
        <v>0</v>
      </c>
      <c r="AI20" s="69"/>
      <c r="AJ20" s="163">
        <f>+AI20/AI$5</f>
        <v>0</v>
      </c>
      <c r="AK20" s="69"/>
      <c r="AL20" s="163">
        <f>+AK20/AK$5</f>
        <v>0</v>
      </c>
      <c r="AM20" s="69"/>
      <c r="AN20" s="163">
        <f>+AM20/AM$5</f>
        <v>0</v>
      </c>
    </row>
    <row r="21" spans="2:40" ht="12.75">
      <c r="B21" s="68" t="s">
        <v>53</v>
      </c>
      <c r="C21" s="53" t="s">
        <v>257</v>
      </c>
      <c r="D21" s="17" t="s">
        <v>110</v>
      </c>
      <c r="E21" s="17"/>
      <c r="F21" s="17"/>
      <c r="G21" s="202">
        <f>AM21+AK21+AI21+AE21+AC21+AA21+W21+U21+S21+O21+M21+K21</f>
        <v>158.28</v>
      </c>
      <c r="H21" s="163">
        <f>+G21/G$5</f>
        <v>3.150512391488928E-05</v>
      </c>
      <c r="I21" s="222">
        <f>O21+M21+K21</f>
        <v>0</v>
      </c>
      <c r="J21" s="221" t="e">
        <f>+I21/I$5</f>
        <v>#DIV/0!</v>
      </c>
      <c r="K21" s="69"/>
      <c r="L21" s="163" t="e">
        <f>+K21/K$5</f>
        <v>#DIV/0!</v>
      </c>
      <c r="M21" s="69"/>
      <c r="N21" s="163" t="e">
        <f>+M21/M$5</f>
        <v>#DIV/0!</v>
      </c>
      <c r="O21" s="69"/>
      <c r="P21" s="163" t="e">
        <f>+O21/O$5</f>
        <v>#DIV/0!</v>
      </c>
      <c r="Q21" s="222">
        <f>W21+U21+S21</f>
        <v>0</v>
      </c>
      <c r="R21" s="221">
        <f>+Q21/Q$5</f>
        <v>0</v>
      </c>
      <c r="S21" s="69"/>
      <c r="T21" s="163" t="e">
        <f>+S21/S$5</f>
        <v>#DIV/0!</v>
      </c>
      <c r="U21" s="69"/>
      <c r="V21" s="163">
        <f>+U21/U$5</f>
        <v>0</v>
      </c>
      <c r="W21" s="69"/>
      <c r="X21" s="163">
        <f>+W21/W$5</f>
        <v>0</v>
      </c>
      <c r="Y21" s="222">
        <f>AE21+AC21+AA21</f>
        <v>158.28</v>
      </c>
      <c r="Z21" s="221">
        <f>+Y21/Y$5</f>
        <v>7.339487522370413E-05</v>
      </c>
      <c r="AA21" s="69"/>
      <c r="AB21" s="163">
        <f>+AA21/AA$5</f>
        <v>0</v>
      </c>
      <c r="AC21" s="69">
        <v>158.28</v>
      </c>
      <c r="AD21" s="163">
        <f>+AC21/AC$5</f>
        <v>0.0002545419650977423</v>
      </c>
      <c r="AE21" s="69"/>
      <c r="AF21" s="211">
        <f>+AE21/AE$5</f>
        <v>0</v>
      </c>
      <c r="AG21" s="222">
        <f>AM21+AK21+AI21</f>
        <v>0</v>
      </c>
      <c r="AH21" s="221">
        <f>+AG21/AG$5</f>
        <v>0</v>
      </c>
      <c r="AI21" s="69"/>
      <c r="AJ21" s="163">
        <f>+AI21/AI$5</f>
        <v>0</v>
      </c>
      <c r="AK21" s="69"/>
      <c r="AL21" s="163">
        <f>+AK21/AK$5</f>
        <v>0</v>
      </c>
      <c r="AM21" s="69"/>
      <c r="AN21" s="163">
        <f>+AM21/AM$5</f>
        <v>0</v>
      </c>
    </row>
    <row r="22" spans="2:40" ht="12.75">
      <c r="B22" s="68" t="s">
        <v>53</v>
      </c>
      <c r="C22" s="53" t="s">
        <v>277</v>
      </c>
      <c r="D22" s="17" t="s">
        <v>240</v>
      </c>
      <c r="E22" s="17"/>
      <c r="F22" s="17"/>
      <c r="G22" s="202">
        <f>AM22+AK22+AI22+AE22+AC22+AA22+W22+U22+S22+O22+M22+K22</f>
        <v>0</v>
      </c>
      <c r="H22" s="163">
        <f>+G22/G$5</f>
        <v>0</v>
      </c>
      <c r="I22" s="222">
        <f>O22+M22+K22</f>
        <v>0</v>
      </c>
      <c r="J22" s="221" t="e">
        <f>+I22/I$5</f>
        <v>#DIV/0!</v>
      </c>
      <c r="K22" s="69"/>
      <c r="L22" s="163" t="e">
        <f>+K22/K$5</f>
        <v>#DIV/0!</v>
      </c>
      <c r="M22" s="69"/>
      <c r="N22" s="163" t="e">
        <f>+M22/M$5</f>
        <v>#DIV/0!</v>
      </c>
      <c r="O22" s="69"/>
      <c r="P22" s="163" t="e">
        <f>+O22/O$5</f>
        <v>#DIV/0!</v>
      </c>
      <c r="Q22" s="222">
        <f>W22+U22+S22</f>
        <v>0</v>
      </c>
      <c r="R22" s="221">
        <f>+Q22/Q$5</f>
        <v>0</v>
      </c>
      <c r="S22" s="69"/>
      <c r="T22" s="163" t="e">
        <f>+S22/S$5</f>
        <v>#DIV/0!</v>
      </c>
      <c r="U22" s="69"/>
      <c r="V22" s="163">
        <f>+U22/U$5</f>
        <v>0</v>
      </c>
      <c r="W22" s="69"/>
      <c r="X22" s="163">
        <f>+W22/W$5</f>
        <v>0</v>
      </c>
      <c r="Y22" s="222">
        <f>AE22+AC22+AA22</f>
        <v>0</v>
      </c>
      <c r="Z22" s="221">
        <f>+Y22/Y$5</f>
        <v>0</v>
      </c>
      <c r="AA22" s="69"/>
      <c r="AB22" s="163">
        <f>+AA22/AA$5</f>
        <v>0</v>
      </c>
      <c r="AC22" s="69"/>
      <c r="AD22" s="163">
        <f>+AC22/AC$5</f>
        <v>0</v>
      </c>
      <c r="AE22" s="69"/>
      <c r="AF22" s="211">
        <f>+AE22/AE$5</f>
        <v>0</v>
      </c>
      <c r="AG22" s="222">
        <f>AM22+AK22+AI22</f>
        <v>0</v>
      </c>
      <c r="AH22" s="221">
        <f>+AG22/AG$5</f>
        <v>0</v>
      </c>
      <c r="AI22" s="69"/>
      <c r="AJ22" s="163">
        <f>+AI22/AI$5</f>
        <v>0</v>
      </c>
      <c r="AK22" s="69"/>
      <c r="AL22" s="163">
        <f>+AK22/AK$5</f>
        <v>0</v>
      </c>
      <c r="AM22" s="69"/>
      <c r="AN22" s="163">
        <f>+AM22/AM$5</f>
        <v>0</v>
      </c>
    </row>
    <row r="23" spans="2:40" ht="12.75">
      <c r="B23" s="68"/>
      <c r="C23" s="53"/>
      <c r="D23" s="17"/>
      <c r="E23" s="17"/>
      <c r="F23" s="17"/>
      <c r="G23" s="69"/>
      <c r="H23" s="163"/>
      <c r="I23" s="220"/>
      <c r="J23" s="221"/>
      <c r="K23" s="69"/>
      <c r="L23" s="163"/>
      <c r="M23" s="69"/>
      <c r="N23" s="163"/>
      <c r="O23" s="69"/>
      <c r="P23" s="163"/>
      <c r="Q23" s="220"/>
      <c r="R23" s="221"/>
      <c r="S23" s="69"/>
      <c r="T23" s="163"/>
      <c r="U23" s="69"/>
      <c r="V23" s="163"/>
      <c r="W23" s="69"/>
      <c r="X23" s="163"/>
      <c r="Y23" s="220"/>
      <c r="Z23" s="221"/>
      <c r="AA23" s="69"/>
      <c r="AB23" s="163"/>
      <c r="AC23" s="69"/>
      <c r="AD23" s="163"/>
      <c r="AE23" s="69"/>
      <c r="AF23" s="211"/>
      <c r="AG23" s="220"/>
      <c r="AH23" s="221"/>
      <c r="AI23" s="69"/>
      <c r="AJ23" s="163"/>
      <c r="AK23" s="69"/>
      <c r="AL23" s="163"/>
      <c r="AM23" s="69"/>
      <c r="AN23" s="163"/>
    </row>
    <row r="24" spans="2:40" ht="12.75">
      <c r="B24" s="74" t="s">
        <v>112</v>
      </c>
      <c r="C24" s="50" t="s">
        <v>212</v>
      </c>
      <c r="D24" s="50"/>
      <c r="E24" s="50"/>
      <c r="F24" s="50"/>
      <c r="G24" s="70">
        <f>G7+G19</f>
        <v>5023944.6899999995</v>
      </c>
      <c r="H24" s="162">
        <f>+G24/G$5</f>
        <v>1</v>
      </c>
      <c r="I24" s="218">
        <f>I7+I19</f>
        <v>0</v>
      </c>
      <c r="J24" s="219" t="e">
        <f>+I24/I$5</f>
        <v>#DIV/0!</v>
      </c>
      <c r="K24" s="70">
        <f>K7+K19</f>
        <v>0</v>
      </c>
      <c r="L24" s="162" t="e">
        <f>+K24/K$5</f>
        <v>#DIV/0!</v>
      </c>
      <c r="M24" s="70">
        <f>M7+M19</f>
        <v>0</v>
      </c>
      <c r="N24" s="162" t="e">
        <f>+M24/M$5</f>
        <v>#DIV/0!</v>
      </c>
      <c r="O24" s="70">
        <f>O7+O19</f>
        <v>0</v>
      </c>
      <c r="P24" s="162" t="e">
        <f>+O24/O$5</f>
        <v>#DIV/0!</v>
      </c>
      <c r="Q24" s="218">
        <f>Q7+Q19</f>
        <v>1251465.14</v>
      </c>
      <c r="R24" s="219">
        <f>+Q24/Q$5</f>
        <v>1</v>
      </c>
      <c r="S24" s="70">
        <f>S7+S19</f>
        <v>0</v>
      </c>
      <c r="T24" s="162" t="e">
        <f>+S24/S$5</f>
        <v>#DIV/0!</v>
      </c>
      <c r="U24" s="70">
        <f>U7+U19</f>
        <v>625880.62</v>
      </c>
      <c r="V24" s="162">
        <f>+U24/U$5</f>
        <v>1</v>
      </c>
      <c r="W24" s="70">
        <f>W7+W19</f>
        <v>625584.52</v>
      </c>
      <c r="X24" s="162">
        <f>+W24/W$5</f>
        <v>1</v>
      </c>
      <c r="Y24" s="218">
        <f>Y7+Y19</f>
        <v>2156553.84</v>
      </c>
      <c r="Z24" s="219">
        <f>+Y24/Y$5</f>
        <v>1</v>
      </c>
      <c r="AA24" s="70">
        <f>AA7+AA19</f>
        <v>857850.3099999999</v>
      </c>
      <c r="AB24" s="162">
        <f>+AA24/AA$5</f>
        <v>1</v>
      </c>
      <c r="AC24" s="70">
        <f>AC7+AC19</f>
        <v>621822.8099999999</v>
      </c>
      <c r="AD24" s="162">
        <f>+AC24/AC$5</f>
        <v>1</v>
      </c>
      <c r="AE24" s="70">
        <f>AE7+AE19</f>
        <v>676880.72</v>
      </c>
      <c r="AF24" s="209">
        <f>+AE24/AE$5</f>
        <v>1</v>
      </c>
      <c r="AG24" s="218">
        <f>AG7+AG19</f>
        <v>1615925.71</v>
      </c>
      <c r="AH24" s="219">
        <f>+AG24/AG$5</f>
        <v>1</v>
      </c>
      <c r="AI24" s="70">
        <f>AI7+AI19</f>
        <v>598857.1</v>
      </c>
      <c r="AJ24" s="162">
        <f>+AI24/AI$5</f>
        <v>1</v>
      </c>
      <c r="AK24" s="70">
        <f>AK7+AK19</f>
        <v>462599</v>
      </c>
      <c r="AL24" s="162">
        <f>+AK24/AK$5</f>
        <v>1</v>
      </c>
      <c r="AM24" s="70">
        <f>AM7+AM19</f>
        <v>554469.61</v>
      </c>
      <c r="AN24" s="162">
        <f>+AM24/AM$5</f>
        <v>1</v>
      </c>
    </row>
    <row r="25" spans="2:40" ht="12.75">
      <c r="B25" s="68"/>
      <c r="C25" s="53"/>
      <c r="D25" s="17"/>
      <c r="E25" s="17"/>
      <c r="F25" s="17"/>
      <c r="G25" s="70"/>
      <c r="H25" s="163"/>
      <c r="I25" s="223"/>
      <c r="J25" s="221"/>
      <c r="K25" s="70"/>
      <c r="L25" s="163"/>
      <c r="M25" s="70"/>
      <c r="N25" s="163"/>
      <c r="O25" s="70"/>
      <c r="P25" s="163"/>
      <c r="Q25" s="223"/>
      <c r="R25" s="221"/>
      <c r="S25" s="70"/>
      <c r="T25" s="163"/>
      <c r="U25" s="70"/>
      <c r="V25" s="163"/>
      <c r="W25" s="70"/>
      <c r="X25" s="163"/>
      <c r="Y25" s="223"/>
      <c r="Z25" s="221"/>
      <c r="AA25" s="70"/>
      <c r="AB25" s="163"/>
      <c r="AC25" s="70"/>
      <c r="AD25" s="163"/>
      <c r="AE25" s="70"/>
      <c r="AF25" s="211"/>
      <c r="AG25" s="223"/>
      <c r="AH25" s="221"/>
      <c r="AI25" s="70"/>
      <c r="AJ25" s="163"/>
      <c r="AK25" s="70"/>
      <c r="AL25" s="163"/>
      <c r="AM25" s="70"/>
      <c r="AN25" s="163"/>
    </row>
    <row r="26" spans="2:40" ht="12.75">
      <c r="B26" s="157"/>
      <c r="C26" s="158" t="s">
        <v>29</v>
      </c>
      <c r="D26" s="158"/>
      <c r="E26" s="158"/>
      <c r="F26" s="158"/>
      <c r="G26" s="73">
        <f>G28+G33+G47</f>
        <v>-4484337.82</v>
      </c>
      <c r="H26" s="179">
        <f>+G26/G5</f>
        <v>-0.8925929915044508</v>
      </c>
      <c r="I26" s="214">
        <f>I28+I33+I47</f>
        <v>0</v>
      </c>
      <c r="J26" s="224" t="e">
        <f>+I26/I5</f>
        <v>#DIV/0!</v>
      </c>
      <c r="K26" s="205">
        <f>K28+K33+K47</f>
        <v>0</v>
      </c>
      <c r="L26" s="179" t="e">
        <f>+K26/K5</f>
        <v>#DIV/0!</v>
      </c>
      <c r="M26" s="205">
        <f>M28+M33+M47</f>
        <v>0</v>
      </c>
      <c r="N26" s="179" t="e">
        <f>+M26/M5</f>
        <v>#DIV/0!</v>
      </c>
      <c r="O26" s="205">
        <f>O28+O33+O47</f>
        <v>0</v>
      </c>
      <c r="P26" s="179" t="e">
        <f>+O26/O5</f>
        <v>#DIV/0!</v>
      </c>
      <c r="Q26" s="214">
        <f>Q28+Q33+Q47</f>
        <v>-1087080.7400000002</v>
      </c>
      <c r="R26" s="224">
        <f>+Q26/Q5</f>
        <v>-0.86864644108265</v>
      </c>
      <c r="S26" s="205">
        <f>S28+S33+S47</f>
        <v>0</v>
      </c>
      <c r="T26" s="179" t="e">
        <f>+S26/S5</f>
        <v>#DIV/0!</v>
      </c>
      <c r="U26" s="205">
        <f>U28+U33+U47</f>
        <v>-540492.34</v>
      </c>
      <c r="V26" s="179">
        <f>+U26/U5</f>
        <v>-0.8635709793985952</v>
      </c>
      <c r="W26" s="205">
        <f>W28+W33+W47</f>
        <v>-546588.4</v>
      </c>
      <c r="X26" s="179">
        <f>+W26/W5</f>
        <v>-0.8737243050707201</v>
      </c>
      <c r="Y26" s="214">
        <f>Y28+Y33+Y47</f>
        <v>-1757211.8900000001</v>
      </c>
      <c r="Z26" s="224">
        <f>+Y26/Y5</f>
        <v>-0.8148240296194044</v>
      </c>
      <c r="AA26" s="205">
        <f>AA28+AA33+AA47</f>
        <v>-606139.4500000001</v>
      </c>
      <c r="AB26" s="179">
        <f>+AA26/AA5</f>
        <v>-0.7065795080262897</v>
      </c>
      <c r="AC26" s="205">
        <f>AC28+AC33+AC47</f>
        <v>-647376.16</v>
      </c>
      <c r="AD26" s="179">
        <f>+AC26/AC5</f>
        <v>-1.041094262849573</v>
      </c>
      <c r="AE26" s="205">
        <f>AE28+AE33+AE47</f>
        <v>-503696.28</v>
      </c>
      <c r="AF26" s="179">
        <f>+AE26/AE5</f>
        <v>-0.7441433403510149</v>
      </c>
      <c r="AG26" s="214">
        <f>AG28+AG33+AG47</f>
        <v>-1640045.1900000002</v>
      </c>
      <c r="AH26" s="224">
        <f>+AG26/AG5</f>
        <v>-1.014926106968123</v>
      </c>
      <c r="AI26" s="73">
        <f>AI28+AI33+AI47</f>
        <v>-561261.01</v>
      </c>
      <c r="AJ26" s="179">
        <f>+AI26/AI5</f>
        <v>-0.9372202650682442</v>
      </c>
      <c r="AK26" s="73">
        <f>AK28+AK33+AK47</f>
        <v>-540309.99</v>
      </c>
      <c r="AL26" s="179">
        <f>+AK26/AK5</f>
        <v>-1.1679878036917504</v>
      </c>
      <c r="AM26" s="73">
        <f>AM28+AM33+AM47</f>
        <v>-538474.1900000001</v>
      </c>
      <c r="AN26" s="179">
        <f>+AM26/AM5</f>
        <v>-0.9711518544722407</v>
      </c>
    </row>
    <row r="27" spans="2:40" ht="7.5" customHeight="1">
      <c r="B27" s="68"/>
      <c r="C27" s="17"/>
      <c r="D27" s="17"/>
      <c r="E27" s="17"/>
      <c r="F27" s="17"/>
      <c r="G27" s="70"/>
      <c r="H27" s="147"/>
      <c r="I27" s="225"/>
      <c r="J27" s="226"/>
      <c r="K27" s="70"/>
      <c r="L27" s="147"/>
      <c r="M27" s="70"/>
      <c r="N27" s="147"/>
      <c r="O27" s="70"/>
      <c r="P27" s="147"/>
      <c r="Q27" s="225"/>
      <c r="R27" s="226"/>
      <c r="S27" s="70"/>
      <c r="T27" s="147"/>
      <c r="U27" s="70"/>
      <c r="V27" s="147"/>
      <c r="W27" s="70"/>
      <c r="X27" s="147"/>
      <c r="Y27" s="225"/>
      <c r="Z27" s="226"/>
      <c r="AA27" s="70"/>
      <c r="AB27" s="147"/>
      <c r="AC27" s="70"/>
      <c r="AD27" s="147"/>
      <c r="AE27" s="70"/>
      <c r="AF27" s="147"/>
      <c r="AG27" s="225"/>
      <c r="AH27" s="226"/>
      <c r="AI27" s="70"/>
      <c r="AJ27" s="147"/>
      <c r="AK27" s="70"/>
      <c r="AL27" s="147"/>
      <c r="AM27" s="70"/>
      <c r="AN27" s="147"/>
    </row>
    <row r="28" spans="2:40" ht="12.75">
      <c r="B28" s="68" t="s">
        <v>53</v>
      </c>
      <c r="C28" s="50" t="s">
        <v>35</v>
      </c>
      <c r="D28" s="50"/>
      <c r="E28" s="50"/>
      <c r="F28" s="50"/>
      <c r="G28" s="70">
        <f>G29+G30+G31</f>
        <v>-2103754.2800000003</v>
      </c>
      <c r="H28" s="147">
        <f>+G28/G5</f>
        <v>-0.41874550971619084</v>
      </c>
      <c r="I28" s="218">
        <f>I29+I30+I31</f>
        <v>0</v>
      </c>
      <c r="J28" s="226" t="e">
        <f>+I28/I5</f>
        <v>#DIV/0!</v>
      </c>
      <c r="K28" s="70">
        <f>K29+K30+K31</f>
        <v>0</v>
      </c>
      <c r="L28" s="147" t="e">
        <f>+K28/K5</f>
        <v>#DIV/0!</v>
      </c>
      <c r="M28" s="70">
        <f>M29+M30+M31</f>
        <v>0</v>
      </c>
      <c r="N28" s="147" t="e">
        <f>+M28/M5</f>
        <v>#DIV/0!</v>
      </c>
      <c r="O28" s="183">
        <f>O29+O30+O31</f>
        <v>0</v>
      </c>
      <c r="P28" s="147" t="e">
        <f>+O28/O5</f>
        <v>#DIV/0!</v>
      </c>
      <c r="Q28" s="218">
        <f>Q29+Q30+Q31</f>
        <v>-493244.48000000004</v>
      </c>
      <c r="R28" s="226">
        <f>+Q28/Q5</f>
        <v>-0.3941336152599505</v>
      </c>
      <c r="S28" s="183">
        <f>S29+S30+S31</f>
        <v>0</v>
      </c>
      <c r="T28" s="147" t="e">
        <f>+S28/S5</f>
        <v>#DIV/0!</v>
      </c>
      <c r="U28" s="70">
        <f>U29+U30+U31</f>
        <v>-260068.88</v>
      </c>
      <c r="V28" s="147">
        <f>+U28/U5</f>
        <v>-0.41552473696980746</v>
      </c>
      <c r="W28" s="70">
        <f>W29+W30+W31</f>
        <v>-233175.59999999998</v>
      </c>
      <c r="X28" s="147">
        <f>+W28/W5</f>
        <v>-0.37273236876129856</v>
      </c>
      <c r="Y28" s="218">
        <f>Y29+Y30+Y31</f>
        <v>-800605.53</v>
      </c>
      <c r="Z28" s="226">
        <f>+Y28/Y5</f>
        <v>-0.37124300592467474</v>
      </c>
      <c r="AA28" s="70">
        <f>AA29+AA30+AA31</f>
        <v>-291177.23000000004</v>
      </c>
      <c r="AB28" s="147">
        <f>+AA28/AA5</f>
        <v>-0.3394266186136834</v>
      </c>
      <c r="AC28" s="70">
        <f>AC29+AC30+AC31</f>
        <v>-251436.3</v>
      </c>
      <c r="AD28" s="147">
        <f>+AC28/AC5</f>
        <v>-0.4043536132101684</v>
      </c>
      <c r="AE28" s="70">
        <f>AE29+AE30+AE31</f>
        <v>-257992</v>
      </c>
      <c r="AF28" s="147">
        <f>+AE28/AE5</f>
        <v>-0.38114839494911307</v>
      </c>
      <c r="AG28" s="218">
        <f>AG29+AG30+AG31</f>
        <v>-809904.2699999999</v>
      </c>
      <c r="AH28" s="226">
        <f>+AG28/AG5</f>
        <v>-0.5012014258997092</v>
      </c>
      <c r="AI28" s="70">
        <f>AI29+AI30+AI31</f>
        <v>-283988.55</v>
      </c>
      <c r="AJ28" s="147">
        <f>+AI28/AI5</f>
        <v>-0.4742175554067907</v>
      </c>
      <c r="AK28" s="70">
        <f>AK29+AK30+AK31</f>
        <v>-254237.84</v>
      </c>
      <c r="AL28" s="147">
        <f>+AK28/AK5</f>
        <v>-0.5495857967699886</v>
      </c>
      <c r="AM28" s="70">
        <f>AM29+AM30+AM31</f>
        <v>-271677.88</v>
      </c>
      <c r="AN28" s="147">
        <f>+AM28/AM5</f>
        <v>-0.4899779448687909</v>
      </c>
    </row>
    <row r="29" spans="2:40" ht="12.75">
      <c r="B29" s="68" t="s">
        <v>53</v>
      </c>
      <c r="C29" s="53" t="s">
        <v>36</v>
      </c>
      <c r="D29" s="17" t="s">
        <v>133</v>
      </c>
      <c r="E29" s="17"/>
      <c r="F29" s="17"/>
      <c r="G29" s="202">
        <f>AM29+AK29+AI29+AE29+AC29+AA29+W29+U29+S29+O29+M29+K29</f>
        <v>-1504237.05</v>
      </c>
      <c r="H29" s="146">
        <f>+G29/G$5</f>
        <v>-0.2994135371343032</v>
      </c>
      <c r="I29" s="227">
        <f>O29+M29+K29</f>
        <v>0</v>
      </c>
      <c r="J29" s="228" t="e">
        <f>+I29/I$5</f>
        <v>#DIV/0!</v>
      </c>
      <c r="K29" s="69"/>
      <c r="L29" s="146" t="e">
        <f>+K29/K$5</f>
        <v>#DIV/0!</v>
      </c>
      <c r="M29" s="69"/>
      <c r="N29" s="146" t="e">
        <f>+M29/M$5</f>
        <v>#DIV/0!</v>
      </c>
      <c r="O29" s="69"/>
      <c r="P29" s="146" t="e">
        <f>+O29/O$5</f>
        <v>#DIV/0!</v>
      </c>
      <c r="Q29" s="227">
        <f>W29+U29+S29</f>
        <v>-358875.67000000004</v>
      </c>
      <c r="R29" s="228">
        <f>+Q29/Q$5</f>
        <v>-0.2867644159868489</v>
      </c>
      <c r="S29" s="69"/>
      <c r="T29" s="146" t="e">
        <f>+S29/S$5</f>
        <v>#DIV/0!</v>
      </c>
      <c r="U29" s="69">
        <f>-191469.16+2587.11</f>
        <v>-188882.05000000002</v>
      </c>
      <c r="V29" s="146">
        <f>+U29/U$5</f>
        <v>-0.30178606584750944</v>
      </c>
      <c r="W29" s="69">
        <f>-171613.82+1620.2</f>
        <v>-169993.62</v>
      </c>
      <c r="X29" s="146">
        <f>+W29/W$5</f>
        <v>-0.27173565611885664</v>
      </c>
      <c r="Y29" s="227">
        <f>AE29+AC29+AA29</f>
        <v>-574372.4299999999</v>
      </c>
      <c r="Z29" s="228">
        <f>+Y29/Y$5</f>
        <v>-0.2663380896625331</v>
      </c>
      <c r="AA29" s="69">
        <f>-212076.34+1153.46</f>
        <v>-210922.88</v>
      </c>
      <c r="AB29" s="146">
        <f>+AA29/AA$5</f>
        <v>-0.24587375855818017</v>
      </c>
      <c r="AC29" s="69">
        <f>-182250.24+853.78</f>
        <v>-181396.46</v>
      </c>
      <c r="AD29" s="146">
        <f>+AC29/AC$5</f>
        <v>-0.29171728196976243</v>
      </c>
      <c r="AE29" s="69">
        <f>-183556.83+1503.74</f>
        <v>-182053.09</v>
      </c>
      <c r="AF29" s="146">
        <f>+AE29/AE$5</f>
        <v>-0.26895889426426567</v>
      </c>
      <c r="AG29" s="227">
        <f>AM29+AK29+AI29</f>
        <v>-570988.95</v>
      </c>
      <c r="AH29" s="228">
        <f>+AG29/AG$5</f>
        <v>-0.3533509903744275</v>
      </c>
      <c r="AI29" s="69">
        <f>-205646.43+1097.67</f>
        <v>-204548.75999999998</v>
      </c>
      <c r="AJ29" s="146">
        <f>+AI29/AI$5</f>
        <v>-0.3415652248257556</v>
      </c>
      <c r="AK29" s="69">
        <f>-186710.82+1701.7</f>
        <v>-185009.12</v>
      </c>
      <c r="AL29" s="146">
        <f>+AK29/AK$5</f>
        <v>-0.39993411140101903</v>
      </c>
      <c r="AM29" s="69">
        <f>-182863.13+1432.06</f>
        <v>-181431.07</v>
      </c>
      <c r="AN29" s="146">
        <f>+AM29/AM$5</f>
        <v>-0.32721553486042276</v>
      </c>
    </row>
    <row r="30" spans="2:40" ht="12" customHeight="1">
      <c r="B30" s="68" t="s">
        <v>53</v>
      </c>
      <c r="C30" s="53" t="s">
        <v>113</v>
      </c>
      <c r="D30" s="17" t="s">
        <v>114</v>
      </c>
      <c r="E30" s="17"/>
      <c r="F30" s="17"/>
      <c r="G30" s="202">
        <f>AM30+AK30+AI30+AE30+AC30+AA30+W30+U30+S30+O30+M30+K30</f>
        <v>-450209.25000000006</v>
      </c>
      <c r="H30" s="146">
        <f>+G30/G$5</f>
        <v>-0.0896127003340875</v>
      </c>
      <c r="I30" s="227">
        <f>O30+M30+K30</f>
        <v>0</v>
      </c>
      <c r="J30" s="228" t="e">
        <f>+I30/I$5</f>
        <v>#DIV/0!</v>
      </c>
      <c r="K30" s="69"/>
      <c r="L30" s="146" t="e">
        <f>+K30/K$5</f>
        <v>#DIV/0!</v>
      </c>
      <c r="M30" s="69"/>
      <c r="N30" s="146" t="e">
        <f>+M30/M$5</f>
        <v>#DIV/0!</v>
      </c>
      <c r="O30" s="69"/>
      <c r="P30" s="146" t="e">
        <f>+O30/O$5</f>
        <v>#DIV/0!</v>
      </c>
      <c r="Q30" s="227">
        <f>W30+U30+S30</f>
        <v>-98456.98000000001</v>
      </c>
      <c r="R30" s="228">
        <f>+Q30/Q$5</f>
        <v>-0.07867336999894381</v>
      </c>
      <c r="S30" s="69"/>
      <c r="T30" s="146" t="e">
        <f>+S30/S$5</f>
        <v>#DIV/0!</v>
      </c>
      <c r="U30" s="69">
        <f>-70117.13+16437.3</f>
        <v>-53679.83</v>
      </c>
      <c r="V30" s="146">
        <f>+U30/U$5</f>
        <v>-0.08576688314777985</v>
      </c>
      <c r="W30" s="69">
        <f>-61142.8+16365.65</f>
        <v>-44777.15</v>
      </c>
      <c r="X30" s="146">
        <f>+W30/W$5</f>
        <v>-0.07157649936734369</v>
      </c>
      <c r="Y30" s="227">
        <f>AE30+AC30+AA30</f>
        <v>-158828.08000000002</v>
      </c>
      <c r="Z30" s="228">
        <f>+Y30/Y$5</f>
        <v>-0.07364902144061473</v>
      </c>
      <c r="AA30" s="69">
        <f>-79145.47+19212.27</f>
        <v>-59933.2</v>
      </c>
      <c r="AB30" s="146">
        <f>+AA30/AA$5</f>
        <v>-0.06986440326634609</v>
      </c>
      <c r="AC30" s="69">
        <f>-66690.47+15929.51</f>
        <v>-50760.96</v>
      </c>
      <c r="AD30" s="146">
        <f>+AC30/AC$5</f>
        <v>-0.08163251521763894</v>
      </c>
      <c r="AE30" s="69">
        <f>-64280.04+16146.12</f>
        <v>-48133.92</v>
      </c>
      <c r="AF30" s="146">
        <f>+AE30/AE$5</f>
        <v>-0.07111137690552037</v>
      </c>
      <c r="AG30" s="227">
        <f>AM30+AK30+AI30</f>
        <v>-192924.19</v>
      </c>
      <c r="AH30" s="228">
        <f>+AG30/AG$5</f>
        <v>-0.11938926944853177</v>
      </c>
      <c r="AI30" s="69">
        <f>-74147.74+18087.31</f>
        <v>-56060.43000000001</v>
      </c>
      <c r="AJ30" s="146">
        <f>+AI30/AI$5</f>
        <v>-0.09361236595508346</v>
      </c>
      <c r="AK30" s="69">
        <f>-74134.32+16098.56</f>
        <v>-58035.76000000001</v>
      </c>
      <c r="AL30" s="146">
        <f>+AK30/AK$5</f>
        <v>-0.1254558699867488</v>
      </c>
      <c r="AM30" s="69">
        <f>-94723.66+15895.66</f>
        <v>-78828</v>
      </c>
      <c r="AN30" s="146">
        <f>+AM30/AM$5</f>
        <v>-0.1421682966538058</v>
      </c>
    </row>
    <row r="31" spans="2:40" ht="12" customHeight="1">
      <c r="B31" s="68" t="s">
        <v>53</v>
      </c>
      <c r="C31" s="53" t="s">
        <v>208</v>
      </c>
      <c r="D31" s="17" t="s">
        <v>213</v>
      </c>
      <c r="E31" s="17"/>
      <c r="F31" s="17"/>
      <c r="G31" s="202">
        <f>AM31+AK31+AI31+AE31+AC31+AA31+W31+U31+S31+O31+M31+K31</f>
        <v>-149307.97999999998</v>
      </c>
      <c r="H31" s="146">
        <f>+G31/G$5</f>
        <v>-0.029719272247800164</v>
      </c>
      <c r="I31" s="227">
        <f>O31+M31+K31</f>
        <v>0</v>
      </c>
      <c r="J31" s="228" t="e">
        <f>+I31/I$5</f>
        <v>#DIV/0!</v>
      </c>
      <c r="K31" s="69"/>
      <c r="L31" s="146" t="e">
        <f>+K31/K$5</f>
        <v>#DIV/0!</v>
      </c>
      <c r="M31" s="69"/>
      <c r="N31" s="146" t="e">
        <f>+M31/M$5</f>
        <v>#DIV/0!</v>
      </c>
      <c r="O31" s="69"/>
      <c r="P31" s="146" t="e">
        <f>+O31/O$5</f>
        <v>#DIV/0!</v>
      </c>
      <c r="Q31" s="227">
        <f>W31+U31+S31</f>
        <v>-35911.83</v>
      </c>
      <c r="R31" s="228">
        <f>+Q31/Q$5</f>
        <v>-0.028695829274157814</v>
      </c>
      <c r="S31" s="69"/>
      <c r="T31" s="146" t="e">
        <f>+S31/S$5</f>
        <v>#DIV/0!</v>
      </c>
      <c r="U31" s="69">
        <v>-17507</v>
      </c>
      <c r="V31" s="146">
        <f>+U31/U$5</f>
        <v>-0.027971787974518207</v>
      </c>
      <c r="W31" s="69">
        <v>-18404.83</v>
      </c>
      <c r="X31" s="146">
        <f>+W31/W$5</f>
        <v>-0.029420213275098306</v>
      </c>
      <c r="Y31" s="227">
        <f>AE31+AC31+AA31</f>
        <v>-67405.01999999999</v>
      </c>
      <c r="Z31" s="228">
        <f>+Y31/Y$5</f>
        <v>-0.03125589482152692</v>
      </c>
      <c r="AA31" s="69">
        <f>-21118.65+797.5</f>
        <v>-20321.15</v>
      </c>
      <c r="AB31" s="146">
        <f>+AA31/AA$5</f>
        <v>-0.023688456789157077</v>
      </c>
      <c r="AC31" s="69">
        <v>-19278.88</v>
      </c>
      <c r="AD31" s="146">
        <f>+AC31/AC$5</f>
        <v>-0.031003816022767004</v>
      </c>
      <c r="AE31" s="69">
        <f>-27816.64+11.65</f>
        <v>-27804.989999999998</v>
      </c>
      <c r="AF31" s="146">
        <f>+AE31/AE$5</f>
        <v>-0.04107812377932703</v>
      </c>
      <c r="AG31" s="227">
        <f>AM31+AK31+AI31</f>
        <v>-45991.13</v>
      </c>
      <c r="AH31" s="228">
        <f>+AG31/AG$5</f>
        <v>-0.0284611660767499</v>
      </c>
      <c r="AI31" s="69">
        <v>-23379.36</v>
      </c>
      <c r="AJ31" s="146">
        <f>+AI31/AI$5</f>
        <v>-0.03903996462595167</v>
      </c>
      <c r="AK31" s="69">
        <f>-11286.56+93.6</f>
        <v>-11192.96</v>
      </c>
      <c r="AL31" s="146">
        <f>+AK31/AK$5</f>
        <v>-0.024195815382220886</v>
      </c>
      <c r="AM31" s="69">
        <f>-11512.41+93.6</f>
        <v>-11418.81</v>
      </c>
      <c r="AN31" s="146">
        <f>+AM31/AM$5</f>
        <v>-0.02059411335456239</v>
      </c>
    </row>
    <row r="32" spans="2:40" ht="10.5" customHeight="1">
      <c r="B32" s="68"/>
      <c r="C32" s="17"/>
      <c r="D32" s="17"/>
      <c r="E32" s="17"/>
      <c r="F32" s="17"/>
      <c r="G32" s="70"/>
      <c r="H32" s="147"/>
      <c r="I32" s="225"/>
      <c r="J32" s="226"/>
      <c r="K32" s="70"/>
      <c r="L32" s="147"/>
      <c r="M32" s="70"/>
      <c r="N32" s="147"/>
      <c r="O32" s="70"/>
      <c r="P32" s="147"/>
      <c r="Q32" s="225"/>
      <c r="R32" s="226"/>
      <c r="S32" s="70"/>
      <c r="T32" s="147"/>
      <c r="U32" s="70"/>
      <c r="V32" s="147"/>
      <c r="W32" s="70"/>
      <c r="X32" s="147"/>
      <c r="Y32" s="225"/>
      <c r="Z32" s="226"/>
      <c r="AA32" s="70"/>
      <c r="AB32" s="147"/>
      <c r="AC32" s="70"/>
      <c r="AD32" s="147"/>
      <c r="AE32" s="70"/>
      <c r="AF32" s="147"/>
      <c r="AG32" s="225"/>
      <c r="AH32" s="226"/>
      <c r="AI32" s="70"/>
      <c r="AJ32" s="147"/>
      <c r="AK32" s="70"/>
      <c r="AL32" s="147"/>
      <c r="AM32" s="70"/>
      <c r="AN32" s="147"/>
    </row>
    <row r="33" spans="2:40" ht="12.75">
      <c r="B33" s="68" t="s">
        <v>53</v>
      </c>
      <c r="C33" s="50" t="s">
        <v>214</v>
      </c>
      <c r="D33" s="50"/>
      <c r="E33" s="50"/>
      <c r="F33" s="50"/>
      <c r="G33" s="70">
        <f>SUM(G34:G45)</f>
        <v>-2084757.51</v>
      </c>
      <c r="H33" s="147">
        <f aca="true" t="shared" si="21" ref="H33:H45">+G33/G$5</f>
        <v>-0.41496426386811996</v>
      </c>
      <c r="I33" s="218">
        <f>SUM(I34:I45)</f>
        <v>0</v>
      </c>
      <c r="J33" s="226" t="e">
        <f>+I33/I$5</f>
        <v>#DIV/0!</v>
      </c>
      <c r="K33" s="70">
        <f>SUM(K34:K45)</f>
        <v>0</v>
      </c>
      <c r="L33" s="147" t="e">
        <f>+K33/K$5</f>
        <v>#DIV/0!</v>
      </c>
      <c r="M33" s="70">
        <f>SUM(M34:M45)</f>
        <v>0</v>
      </c>
      <c r="N33" s="147" t="e">
        <f>+M33/M$5</f>
        <v>#DIV/0!</v>
      </c>
      <c r="O33" s="70">
        <f>SUM(O34:O45)</f>
        <v>0</v>
      </c>
      <c r="P33" s="147" t="e">
        <f>+O33/O$5</f>
        <v>#DIV/0!</v>
      </c>
      <c r="Q33" s="218">
        <f>SUM(Q34:Q45)</f>
        <v>-559665.4800000001</v>
      </c>
      <c r="R33" s="226">
        <f>+Q33/Q$5</f>
        <v>-0.4472082058953717</v>
      </c>
      <c r="S33" s="70">
        <f>SUM(S34:S45)</f>
        <v>0</v>
      </c>
      <c r="T33" s="147" t="e">
        <f>+S33/S$5</f>
        <v>#DIV/0!</v>
      </c>
      <c r="U33" s="70">
        <f>SUM(U34:U45)</f>
        <v>-266976.08999999997</v>
      </c>
      <c r="V33" s="147">
        <f aca="true" t="shared" si="22" ref="V33:V45">+U33/U$5</f>
        <v>-0.426560723353281</v>
      </c>
      <c r="W33" s="70">
        <f>SUM(W34:W45)</f>
        <v>-292689.39</v>
      </c>
      <c r="X33" s="147">
        <f aca="true" t="shared" si="23" ref="X33:X45">+W33/W$5</f>
        <v>-0.46786546124894524</v>
      </c>
      <c r="Y33" s="218">
        <f>SUM(Y34:Y45)</f>
        <v>-847715.4600000001</v>
      </c>
      <c r="Z33" s="226">
        <f>+Y33/Y$5</f>
        <v>-0.39308801119474956</v>
      </c>
      <c r="AA33" s="70">
        <f>SUM(AA34:AA45)</f>
        <v>-305744.10000000003</v>
      </c>
      <c r="AB33" s="147">
        <f>+AA33/AA$5</f>
        <v>-0.35640728508916675</v>
      </c>
      <c r="AC33" s="70">
        <f>SUM(AC34:AC45)</f>
        <v>-308566.10000000003</v>
      </c>
      <c r="AD33" s="147">
        <f aca="true" t="shared" si="24" ref="AD33:AD45">+AC33/AC$5</f>
        <v>-0.4962283387449233</v>
      </c>
      <c r="AE33" s="70">
        <f>SUM(AE34:AE45)</f>
        <v>-233405.25999999998</v>
      </c>
      <c r="AF33" s="147">
        <f>+AE33/AE$5</f>
        <v>-0.3448248016282691</v>
      </c>
      <c r="AG33" s="218">
        <f>SUM(AG34:AG45)</f>
        <v>-677376.5700000002</v>
      </c>
      <c r="AH33" s="226">
        <f>+AG33/AG$5</f>
        <v>-0.4191879402673779</v>
      </c>
      <c r="AI33" s="70">
        <f>SUM(AI34:AI45)</f>
        <v>-237766.55000000002</v>
      </c>
      <c r="AJ33" s="147">
        <f>+AI33/AI$5</f>
        <v>-0.39703386667704205</v>
      </c>
      <c r="AK33" s="70">
        <f>SUM(AK34:AK45)</f>
        <v>-221510.11</v>
      </c>
      <c r="AL33" s="147">
        <f>+AK33/AK$5</f>
        <v>-0.47883828110307197</v>
      </c>
      <c r="AM33" s="70">
        <f>SUM(AM34:AM45)</f>
        <v>-218099.91</v>
      </c>
      <c r="AN33" s="147">
        <f>+AM33/AM$5</f>
        <v>-0.39334871752484324</v>
      </c>
    </row>
    <row r="34" spans="2:40" ht="12.75">
      <c r="B34" s="68" t="s">
        <v>53</v>
      </c>
      <c r="C34" s="53" t="s">
        <v>215</v>
      </c>
      <c r="D34" s="17" t="s">
        <v>216</v>
      </c>
      <c r="E34" s="17"/>
      <c r="F34" s="17"/>
      <c r="G34" s="202">
        <f>AM34+AK34+AI34+AE34+AC34+AA34+W34+U34+S34+O34+M34+K34</f>
        <v>-744268.3799999999</v>
      </c>
      <c r="H34" s="146">
        <f>+G34/G$5</f>
        <v>-0.14814422250337314</v>
      </c>
      <c r="I34" s="229">
        <f>O34+M34+K34</f>
        <v>0</v>
      </c>
      <c r="J34" s="228" t="e">
        <f aca="true" t="shared" si="25" ref="J34:J45">+I34/I$5</f>
        <v>#DIV/0!</v>
      </c>
      <c r="K34" s="69"/>
      <c r="L34" s="146" t="e">
        <f aca="true" t="shared" si="26" ref="L34:L45">+K34/K$5</f>
        <v>#DIV/0!</v>
      </c>
      <c r="M34" s="69"/>
      <c r="N34" s="146" t="e">
        <f aca="true" t="shared" si="27" ref="N34:N45">+M34/M$5</f>
        <v>#DIV/0!</v>
      </c>
      <c r="O34" s="184"/>
      <c r="P34" s="146" t="e">
        <f aca="true" t="shared" si="28" ref="P34:P45">+O34/O$5</f>
        <v>#DIV/0!</v>
      </c>
      <c r="Q34" s="229">
        <f>W34+U34+S34</f>
        <v>-214003.06</v>
      </c>
      <c r="R34" s="228">
        <f aca="true" t="shared" si="29" ref="R34:R45">+Q34/Q$5</f>
        <v>-0.17100201448679586</v>
      </c>
      <c r="S34" s="184"/>
      <c r="T34" s="146" t="e">
        <f aca="true" t="shared" si="30" ref="T34:T45">+S34/S$5</f>
        <v>#DIV/0!</v>
      </c>
      <c r="U34" s="69">
        <f>-105752.09-740-3129.64-U35</f>
        <v>-109621.73</v>
      </c>
      <c r="V34" s="146">
        <f t="shared" si="22"/>
        <v>-0.1751479858890662</v>
      </c>
      <c r="W34" s="69">
        <f>-101961.33-2420-W35</f>
        <v>-104381.33</v>
      </c>
      <c r="X34" s="146">
        <f t="shared" si="23"/>
        <v>-0.166854080724376</v>
      </c>
      <c r="Y34" s="229">
        <f>AE34+AC34+AA34</f>
        <v>-276551.93</v>
      </c>
      <c r="Z34" s="228">
        <f aca="true" t="shared" si="31" ref="Z34:Z45">+Y34/Y$5</f>
        <v>-0.1282378973668471</v>
      </c>
      <c r="AA34" s="69">
        <f>-88323.03+820.2-AA35-2093.02-700</f>
        <v>-90295.85</v>
      </c>
      <c r="AB34" s="146">
        <f aca="true" t="shared" si="32" ref="AB34:AB45">+AA34/AA$5</f>
        <v>-0.10525828218212104</v>
      </c>
      <c r="AC34" s="69">
        <f>-102138.51-AC35-1313.95-1100</f>
        <v>-104552.45999999999</v>
      </c>
      <c r="AD34" s="146">
        <f t="shared" si="24"/>
        <v>-0.16813866959946355</v>
      </c>
      <c r="AE34" s="69">
        <f>-80750.03-AE35-1232.56-1200</f>
        <v>-81703.62</v>
      </c>
      <c r="AF34" s="146">
        <f aca="true" t="shared" si="33" ref="AF34:AF45">+AE34/AE$5</f>
        <v>-0.12070608245423212</v>
      </c>
      <c r="AG34" s="229">
        <f>AM34+AK34+AI34</f>
        <v>-253713.39</v>
      </c>
      <c r="AH34" s="228">
        <f aca="true" t="shared" si="34" ref="AH34:AJ45">+AG34/AG$5</f>
        <v>-0.15700807805081585</v>
      </c>
      <c r="AI34" s="69">
        <f>-87225.99-AI35-1546.5-1600</f>
        <v>-90372.49</v>
      </c>
      <c r="AJ34" s="146">
        <f t="shared" si="34"/>
        <v>-0.15090827177301563</v>
      </c>
      <c r="AK34" s="69">
        <f>-57981.15-AK35-2560</f>
        <v>-60541.15</v>
      </c>
      <c r="AL34" s="146">
        <f aca="true" t="shared" si="35" ref="AL34:AL45">+AK34/AK$5</f>
        <v>-0.13087177015082177</v>
      </c>
      <c r="AM34" s="69">
        <f>-96181.79-AM35-4233.94-2980</f>
        <v>-102799.75</v>
      </c>
      <c r="AN34" s="146">
        <f aca="true" t="shared" si="36" ref="AN34:AN45">+AM34/AM$5</f>
        <v>-0.18540195557336317</v>
      </c>
    </row>
    <row r="35" spans="2:40" ht="12.75">
      <c r="B35" s="68" t="s">
        <v>53</v>
      </c>
      <c r="C35" s="53" t="s">
        <v>217</v>
      </c>
      <c r="D35" s="17" t="s">
        <v>132</v>
      </c>
      <c r="E35" s="17"/>
      <c r="F35" s="17"/>
      <c r="G35" s="202">
        <f>AM35+AK35+AI35+AE35+AC35+AA35+W35+U35+S35+O35+M35+K35</f>
        <v>-2074.95</v>
      </c>
      <c r="H35" s="146">
        <f>+G35/G$5</f>
        <v>-0.00041301211060904415</v>
      </c>
      <c r="I35" s="229"/>
      <c r="J35" s="228"/>
      <c r="K35" s="69"/>
      <c r="L35" s="146"/>
      <c r="M35" s="69"/>
      <c r="N35" s="146"/>
      <c r="O35" s="184"/>
      <c r="P35" s="146"/>
      <c r="Q35" s="229"/>
      <c r="R35" s="228"/>
      <c r="S35" s="184"/>
      <c r="T35" s="146"/>
      <c r="U35" s="69"/>
      <c r="V35" s="146"/>
      <c r="W35" s="69"/>
      <c r="X35" s="146"/>
      <c r="Y35" s="229">
        <f>AE35+AC35+AA35</f>
        <v>-1478.97</v>
      </c>
      <c r="Z35" s="228"/>
      <c r="AA35" s="69">
        <v>0</v>
      </c>
      <c r="AB35" s="146"/>
      <c r="AC35" s="69">
        <v>0</v>
      </c>
      <c r="AD35" s="146"/>
      <c r="AE35" s="69">
        <v>-1478.97</v>
      </c>
      <c r="AF35" s="146"/>
      <c r="AG35" s="229">
        <f>AM35+AK35+AI35</f>
        <v>-595.98</v>
      </c>
      <c r="AH35" s="228"/>
      <c r="AI35" s="69">
        <v>0</v>
      </c>
      <c r="AJ35" s="146"/>
      <c r="AK35" s="69">
        <v>0</v>
      </c>
      <c r="AL35" s="146">
        <f t="shared" si="35"/>
        <v>0</v>
      </c>
      <c r="AM35" s="69">
        <v>-595.98</v>
      </c>
      <c r="AN35" s="146">
        <f t="shared" si="36"/>
        <v>-0.00107486504084507</v>
      </c>
    </row>
    <row r="36" spans="2:43" ht="12.75">
      <c r="B36" s="68" t="s">
        <v>53</v>
      </c>
      <c r="C36" s="53" t="s">
        <v>219</v>
      </c>
      <c r="D36" s="17" t="s">
        <v>218</v>
      </c>
      <c r="E36" s="17"/>
      <c r="F36" s="17"/>
      <c r="G36" s="202">
        <f aca="true" t="shared" si="37" ref="G36:G45">AM36+AK36+AI36+AE36+AC36+AA36+W36+U36+S36+O36+M36+K36</f>
        <v>-442301.51</v>
      </c>
      <c r="H36" s="146">
        <f t="shared" si="21"/>
        <v>-0.08803869017116907</v>
      </c>
      <c r="I36" s="229">
        <f aca="true" t="shared" si="38" ref="I36:I45">O36+M36+K36</f>
        <v>0</v>
      </c>
      <c r="J36" s="228" t="e">
        <f t="shared" si="25"/>
        <v>#DIV/0!</v>
      </c>
      <c r="K36" s="69"/>
      <c r="L36" s="146" t="e">
        <f t="shared" si="26"/>
        <v>#DIV/0!</v>
      </c>
      <c r="M36" s="69"/>
      <c r="N36" s="146" t="e">
        <f t="shared" si="27"/>
        <v>#DIV/0!</v>
      </c>
      <c r="O36" s="184"/>
      <c r="P36" s="146" t="e">
        <f t="shared" si="28"/>
        <v>#DIV/0!</v>
      </c>
      <c r="Q36" s="229">
        <f aca="true" t="shared" si="39" ref="Q36:Q45">W36+U36+S36</f>
        <v>-121133.84</v>
      </c>
      <c r="R36" s="228">
        <f t="shared" si="29"/>
        <v>-0.0967936190376026</v>
      </c>
      <c r="S36" s="184"/>
      <c r="T36" s="146" t="e">
        <f t="shared" si="30"/>
        <v>#DIV/0!</v>
      </c>
      <c r="U36" s="69">
        <f>-67295.79+2486.7</f>
        <v>-64809.09</v>
      </c>
      <c r="V36" s="146">
        <f t="shared" si="22"/>
        <v>-0.10354864478788303</v>
      </c>
      <c r="W36" s="69">
        <v>-56324.75</v>
      </c>
      <c r="X36" s="146">
        <f t="shared" si="23"/>
        <v>-0.09003539601651268</v>
      </c>
      <c r="Y36" s="229">
        <f aca="true" t="shared" si="40" ref="Y36:Y45">AE36+AC36+AA36</f>
        <v>-170422.39</v>
      </c>
      <c r="Z36" s="228">
        <f t="shared" si="31"/>
        <v>-0.07902533516158355</v>
      </c>
      <c r="AA36" s="69">
        <f>-53896.91+179</f>
        <v>-53717.91</v>
      </c>
      <c r="AB36" s="146">
        <f t="shared" si="32"/>
        <v>-0.06261921150322836</v>
      </c>
      <c r="AC36" s="69">
        <f>-59706.34+143.07</f>
        <v>-59563.27</v>
      </c>
      <c r="AD36" s="146">
        <f t="shared" si="24"/>
        <v>-0.09578817155324361</v>
      </c>
      <c r="AE36" s="69">
        <f>-57546.21+405</f>
        <v>-57141.21</v>
      </c>
      <c r="AF36" s="146">
        <f t="shared" si="33"/>
        <v>-0.08441843342797532</v>
      </c>
      <c r="AG36" s="229">
        <f aca="true" t="shared" si="41" ref="AG36:AG45">AM36+AK36+AI36</f>
        <v>-150745.28</v>
      </c>
      <c r="AH36" s="228">
        <f t="shared" si="34"/>
        <v>-0.0932872588554829</v>
      </c>
      <c r="AI36" s="69">
        <f>-52468.02+906.97</f>
        <v>-51561.049999999996</v>
      </c>
      <c r="AJ36" s="146">
        <f t="shared" si="34"/>
        <v>-0.08609908774564082</v>
      </c>
      <c r="AK36" s="69">
        <f>-67609.25+7797.28</f>
        <v>-59811.97</v>
      </c>
      <c r="AL36" s="146">
        <f t="shared" si="35"/>
        <v>-0.1292955021519718</v>
      </c>
      <c r="AM36" s="69">
        <f>-43301.72+3929.46</f>
        <v>-39372.26</v>
      </c>
      <c r="AN36" s="146">
        <f t="shared" si="36"/>
        <v>-0.07100886917860115</v>
      </c>
      <c r="AQ36" s="188"/>
    </row>
    <row r="37" spans="2:40" ht="12.75" hidden="1">
      <c r="B37" s="68" t="s">
        <v>53</v>
      </c>
      <c r="C37" s="53" t="s">
        <v>219</v>
      </c>
      <c r="D37" s="17" t="s">
        <v>220</v>
      </c>
      <c r="E37" s="17"/>
      <c r="F37" s="17"/>
      <c r="G37" s="202">
        <f t="shared" si="37"/>
        <v>0</v>
      </c>
      <c r="H37" s="146">
        <f t="shared" si="21"/>
        <v>0</v>
      </c>
      <c r="I37" s="229">
        <f t="shared" si="38"/>
        <v>0</v>
      </c>
      <c r="J37" s="228" t="e">
        <f t="shared" si="25"/>
        <v>#DIV/0!</v>
      </c>
      <c r="K37" s="69"/>
      <c r="L37" s="146" t="e">
        <f t="shared" si="26"/>
        <v>#DIV/0!</v>
      </c>
      <c r="M37" s="69"/>
      <c r="N37" s="146" t="e">
        <f t="shared" si="27"/>
        <v>#DIV/0!</v>
      </c>
      <c r="O37" s="184"/>
      <c r="P37" s="146" t="e">
        <f t="shared" si="28"/>
        <v>#DIV/0!</v>
      </c>
      <c r="Q37" s="229">
        <f t="shared" si="39"/>
        <v>0</v>
      </c>
      <c r="R37" s="228">
        <f t="shared" si="29"/>
        <v>0</v>
      </c>
      <c r="S37" s="184"/>
      <c r="T37" s="146" t="e">
        <f t="shared" si="30"/>
        <v>#DIV/0!</v>
      </c>
      <c r="U37" s="69"/>
      <c r="V37" s="146">
        <f t="shared" si="22"/>
        <v>0</v>
      </c>
      <c r="W37" s="69"/>
      <c r="X37" s="146">
        <f t="shared" si="23"/>
        <v>0</v>
      </c>
      <c r="Y37" s="229">
        <f t="shared" si="40"/>
        <v>0</v>
      </c>
      <c r="Z37" s="228">
        <f t="shared" si="31"/>
        <v>0</v>
      </c>
      <c r="AA37" s="69"/>
      <c r="AB37" s="146">
        <f t="shared" si="32"/>
        <v>0</v>
      </c>
      <c r="AC37" s="69"/>
      <c r="AD37" s="146">
        <f t="shared" si="24"/>
        <v>0</v>
      </c>
      <c r="AE37" s="69"/>
      <c r="AF37" s="146">
        <f t="shared" si="33"/>
        <v>0</v>
      </c>
      <c r="AG37" s="229">
        <f t="shared" si="41"/>
        <v>0</v>
      </c>
      <c r="AH37" s="228">
        <f t="shared" si="34"/>
        <v>0</v>
      </c>
      <c r="AI37" s="69"/>
      <c r="AJ37" s="146">
        <f t="shared" si="34"/>
        <v>0</v>
      </c>
      <c r="AK37" s="69"/>
      <c r="AL37" s="146">
        <f t="shared" si="35"/>
        <v>0</v>
      </c>
      <c r="AM37" s="69"/>
      <c r="AN37" s="146">
        <f t="shared" si="36"/>
        <v>0</v>
      </c>
    </row>
    <row r="38" spans="2:43" ht="12.75">
      <c r="B38" s="68" t="s">
        <v>53</v>
      </c>
      <c r="C38" s="53" t="s">
        <v>221</v>
      </c>
      <c r="D38" s="17" t="s">
        <v>222</v>
      </c>
      <c r="E38" s="17"/>
      <c r="F38" s="17"/>
      <c r="G38" s="202">
        <f t="shared" si="37"/>
        <v>-216371.37999999998</v>
      </c>
      <c r="H38" s="146">
        <f t="shared" si="21"/>
        <v>-0.04306802589421023</v>
      </c>
      <c r="I38" s="229">
        <f t="shared" si="38"/>
        <v>0</v>
      </c>
      <c r="J38" s="228" t="e">
        <f t="shared" si="25"/>
        <v>#DIV/0!</v>
      </c>
      <c r="K38" s="69"/>
      <c r="L38" s="146" t="e">
        <f t="shared" si="26"/>
        <v>#DIV/0!</v>
      </c>
      <c r="M38" s="69"/>
      <c r="N38" s="146" t="e">
        <f t="shared" si="27"/>
        <v>#DIV/0!</v>
      </c>
      <c r="O38" s="184"/>
      <c r="P38" s="146" t="e">
        <f t="shared" si="28"/>
        <v>#DIV/0!</v>
      </c>
      <c r="Q38" s="229">
        <f t="shared" si="39"/>
        <v>-102447.75</v>
      </c>
      <c r="R38" s="228">
        <f t="shared" si="29"/>
        <v>-0.0818622482764482</v>
      </c>
      <c r="S38" s="184"/>
      <c r="T38" s="146" t="e">
        <f t="shared" si="30"/>
        <v>#DIV/0!</v>
      </c>
      <c r="U38" s="69">
        <f>-57820.93+606</f>
        <v>-57214.93</v>
      </c>
      <c r="V38" s="146">
        <f t="shared" si="22"/>
        <v>-0.09141508487672936</v>
      </c>
      <c r="W38" s="69">
        <v>-45232.82</v>
      </c>
      <c r="X38" s="146">
        <f t="shared" si="23"/>
        <v>-0.07230489015297245</v>
      </c>
      <c r="Y38" s="229">
        <f t="shared" si="40"/>
        <v>-61596.850000000006</v>
      </c>
      <c r="Z38" s="228">
        <f t="shared" si="31"/>
        <v>-0.02856263027497612</v>
      </c>
      <c r="AA38" s="69">
        <v>-21633.8</v>
      </c>
      <c r="AB38" s="146">
        <f t="shared" si="32"/>
        <v>-0.025218618852046577</v>
      </c>
      <c r="AC38" s="69">
        <f>-19931.77-174.41</f>
        <v>-20106.18</v>
      </c>
      <c r="AD38" s="146">
        <f t="shared" si="24"/>
        <v>-0.032334259336675025</v>
      </c>
      <c r="AE38" s="69">
        <f>-35083.37+15226.5</f>
        <v>-19856.870000000003</v>
      </c>
      <c r="AF38" s="146">
        <f t="shared" si="33"/>
        <v>-0.029335848124023983</v>
      </c>
      <c r="AG38" s="229">
        <f t="shared" si="41"/>
        <v>-52326.78</v>
      </c>
      <c r="AH38" s="228">
        <f t="shared" si="34"/>
        <v>-0.03238192181495769</v>
      </c>
      <c r="AI38" s="69">
        <v>-21798.13</v>
      </c>
      <c r="AJ38" s="146">
        <f t="shared" si="34"/>
        <v>-0.03639955174615113</v>
      </c>
      <c r="AK38" s="69">
        <v>-19971</v>
      </c>
      <c r="AL38" s="146">
        <f t="shared" si="35"/>
        <v>-0.04317129954885333</v>
      </c>
      <c r="AM38" s="69">
        <v>-10557.65</v>
      </c>
      <c r="AN38" s="146">
        <f t="shared" si="36"/>
        <v>-0.01904098946017979</v>
      </c>
      <c r="AQ38" s="188"/>
    </row>
    <row r="39" spans="2:40" ht="12.75">
      <c r="B39" s="68" t="s">
        <v>53</v>
      </c>
      <c r="C39" s="53" t="s">
        <v>223</v>
      </c>
      <c r="D39" s="17" t="s">
        <v>224</v>
      </c>
      <c r="E39" s="17"/>
      <c r="F39" s="17"/>
      <c r="G39" s="202">
        <f t="shared" si="37"/>
        <v>-77014.36000000002</v>
      </c>
      <c r="H39" s="146">
        <f t="shared" si="21"/>
        <v>-0.015329460165693032</v>
      </c>
      <c r="I39" s="229">
        <f t="shared" si="38"/>
        <v>0</v>
      </c>
      <c r="J39" s="228" t="e">
        <f t="shared" si="25"/>
        <v>#DIV/0!</v>
      </c>
      <c r="K39" s="69"/>
      <c r="L39" s="146" t="e">
        <f t="shared" si="26"/>
        <v>#DIV/0!</v>
      </c>
      <c r="M39" s="69"/>
      <c r="N39" s="146" t="e">
        <f t="shared" si="27"/>
        <v>#DIV/0!</v>
      </c>
      <c r="O39" s="184"/>
      <c r="P39" s="146" t="e">
        <f t="shared" si="28"/>
        <v>#DIV/0!</v>
      </c>
      <c r="Q39" s="229">
        <f t="shared" si="39"/>
        <v>-26473.9</v>
      </c>
      <c r="R39" s="228">
        <f t="shared" si="29"/>
        <v>-0.021154324762094456</v>
      </c>
      <c r="S39" s="184"/>
      <c r="T39" s="146" t="e">
        <f t="shared" si="30"/>
        <v>#DIV/0!</v>
      </c>
      <c r="U39" s="69">
        <v>-16704.53</v>
      </c>
      <c r="V39" s="146">
        <f t="shared" si="22"/>
        <v>-0.02668964250722446</v>
      </c>
      <c r="W39" s="69">
        <v>-9769.37</v>
      </c>
      <c r="X39" s="146">
        <f t="shared" si="23"/>
        <v>-0.015616387055101684</v>
      </c>
      <c r="Y39" s="229">
        <f t="shared" si="40"/>
        <v>-26452.699999999997</v>
      </c>
      <c r="Z39" s="228">
        <f t="shared" si="31"/>
        <v>-0.012266190395691674</v>
      </c>
      <c r="AA39" s="69">
        <f>-2895-3021.4</f>
        <v>-5916.4</v>
      </c>
      <c r="AB39" s="146">
        <f t="shared" si="32"/>
        <v>-0.006896774333508138</v>
      </c>
      <c r="AC39" s="69">
        <f>-9744.5-3021.4</f>
        <v>-12765.9</v>
      </c>
      <c r="AD39" s="146">
        <f t="shared" si="24"/>
        <v>-0.02052980333738481</v>
      </c>
      <c r="AE39" s="69">
        <f>-4749-3021.4</f>
        <v>-7770.4</v>
      </c>
      <c r="AF39" s="146">
        <f t="shared" si="33"/>
        <v>-0.011479718317283436</v>
      </c>
      <c r="AG39" s="229">
        <f t="shared" si="41"/>
        <v>-24087.760000000002</v>
      </c>
      <c r="AH39" s="228">
        <f t="shared" si="34"/>
        <v>-0.01490647735284811</v>
      </c>
      <c r="AI39" s="69">
        <f>-4703.46-3021.4</f>
        <v>-7724.860000000001</v>
      </c>
      <c r="AJ39" s="146">
        <f t="shared" si="34"/>
        <v>-0.0128993377552007</v>
      </c>
      <c r="AK39" s="69">
        <v>-6674.3</v>
      </c>
      <c r="AL39" s="146">
        <f t="shared" si="35"/>
        <v>-0.01442783058329136</v>
      </c>
      <c r="AM39" s="69">
        <v>-9688.6</v>
      </c>
      <c r="AN39" s="146">
        <f t="shared" si="36"/>
        <v>-0.017473635750749263</v>
      </c>
    </row>
    <row r="40" spans="2:40" ht="12.75">
      <c r="B40" s="68" t="s">
        <v>53</v>
      </c>
      <c r="C40" s="53" t="s">
        <v>225</v>
      </c>
      <c r="D40" s="17" t="s">
        <v>226</v>
      </c>
      <c r="E40" s="17"/>
      <c r="F40" s="17"/>
      <c r="G40" s="202">
        <f t="shared" si="37"/>
        <v>-14359.330000000002</v>
      </c>
      <c r="H40" s="146">
        <f t="shared" si="21"/>
        <v>-0.0028581783610360572</v>
      </c>
      <c r="I40" s="229">
        <f t="shared" si="38"/>
        <v>0</v>
      </c>
      <c r="J40" s="228" t="e">
        <f t="shared" si="25"/>
        <v>#DIV/0!</v>
      </c>
      <c r="K40" s="69"/>
      <c r="L40" s="146" t="e">
        <f t="shared" si="26"/>
        <v>#DIV/0!</v>
      </c>
      <c r="M40" s="69"/>
      <c r="N40" s="146" t="e">
        <f t="shared" si="27"/>
        <v>#DIV/0!</v>
      </c>
      <c r="O40" s="184"/>
      <c r="P40" s="146" t="e">
        <f t="shared" si="28"/>
        <v>#DIV/0!</v>
      </c>
      <c r="Q40" s="229">
        <f t="shared" si="39"/>
        <v>-6198.22</v>
      </c>
      <c r="R40" s="228">
        <f t="shared" si="29"/>
        <v>-0.004952770797914515</v>
      </c>
      <c r="S40" s="184"/>
      <c r="T40" s="146" t="e">
        <f t="shared" si="30"/>
        <v>#DIV/0!</v>
      </c>
      <c r="U40" s="69">
        <v>-6018.22</v>
      </c>
      <c r="V40" s="146">
        <f t="shared" si="22"/>
        <v>-0.009615603691323756</v>
      </c>
      <c r="W40" s="69">
        <v>-180</v>
      </c>
      <c r="X40" s="146">
        <f t="shared" si="23"/>
        <v>-0.00028773090485039495</v>
      </c>
      <c r="Y40" s="229">
        <f t="shared" si="40"/>
        <v>-4157.799999999999</v>
      </c>
      <c r="Z40" s="228">
        <f t="shared" si="31"/>
        <v>-0.0019279833978084217</v>
      </c>
      <c r="AA40" s="69">
        <v>-1156.73</v>
      </c>
      <c r="AB40" s="146">
        <f t="shared" si="32"/>
        <v>-0.0013484054111958066</v>
      </c>
      <c r="AC40" s="69">
        <v>-168.26</v>
      </c>
      <c r="AD40" s="146">
        <f t="shared" si="24"/>
        <v>-0.00027059155324327843</v>
      </c>
      <c r="AE40" s="69">
        <v>-2832.81</v>
      </c>
      <c r="AF40" s="146">
        <f t="shared" si="33"/>
        <v>-0.004185094827342696</v>
      </c>
      <c r="AG40" s="229">
        <f t="shared" si="41"/>
        <v>-4003.31</v>
      </c>
      <c r="AH40" s="228">
        <f t="shared" si="34"/>
        <v>-0.0024774096824042736</v>
      </c>
      <c r="AI40" s="69">
        <v>0</v>
      </c>
      <c r="AJ40" s="146">
        <f t="shared" si="34"/>
        <v>0</v>
      </c>
      <c r="AK40" s="69">
        <v>-3213.31</v>
      </c>
      <c r="AL40" s="146">
        <f t="shared" si="35"/>
        <v>-0.0069462104327938454</v>
      </c>
      <c r="AM40" s="69">
        <v>-790</v>
      </c>
      <c r="AN40" s="146">
        <f t="shared" si="36"/>
        <v>-0.0014247850301480004</v>
      </c>
    </row>
    <row r="41" spans="2:40" ht="12.75">
      <c r="B41" s="68" t="s">
        <v>53</v>
      </c>
      <c r="C41" s="53" t="s">
        <v>227</v>
      </c>
      <c r="D41" s="17" t="s">
        <v>228</v>
      </c>
      <c r="E41" s="17"/>
      <c r="F41" s="17"/>
      <c r="G41" s="202">
        <f t="shared" si="37"/>
        <v>-129096.62999999999</v>
      </c>
      <c r="H41" s="146">
        <f t="shared" si="21"/>
        <v>-0.025696268164926792</v>
      </c>
      <c r="I41" s="229">
        <f t="shared" si="38"/>
        <v>0</v>
      </c>
      <c r="J41" s="228" t="e">
        <f t="shared" si="25"/>
        <v>#DIV/0!</v>
      </c>
      <c r="K41" s="69"/>
      <c r="L41" s="146" t="e">
        <f t="shared" si="26"/>
        <v>#DIV/0!</v>
      </c>
      <c r="M41" s="69"/>
      <c r="N41" s="146" t="e">
        <f t="shared" si="27"/>
        <v>#DIV/0!</v>
      </c>
      <c r="O41" s="184"/>
      <c r="P41" s="146" t="e">
        <f t="shared" si="28"/>
        <v>#DIV/0!</v>
      </c>
      <c r="Q41" s="229">
        <f t="shared" si="39"/>
        <v>-31946.68</v>
      </c>
      <c r="R41" s="228">
        <f t="shared" si="29"/>
        <v>-0.025527423001171255</v>
      </c>
      <c r="S41" s="184"/>
      <c r="T41" s="146" t="e">
        <f t="shared" si="30"/>
        <v>#DIV/0!</v>
      </c>
      <c r="U41" s="69">
        <f>-16460.06-1497</f>
        <v>-17957.06</v>
      </c>
      <c r="V41" s="146">
        <f t="shared" si="22"/>
        <v>-0.028690870792580224</v>
      </c>
      <c r="W41" s="69">
        <f>-12492.62-1497</f>
        <v>-13989.62</v>
      </c>
      <c r="X41" s="146">
        <f t="shared" si="23"/>
        <v>-0.022362477895073236</v>
      </c>
      <c r="Y41" s="229">
        <f t="shared" si="40"/>
        <v>-40200.649999999994</v>
      </c>
      <c r="Z41" s="228">
        <f t="shared" si="31"/>
        <v>-0.018641152960966648</v>
      </c>
      <c r="AA41" s="69">
        <f>-12080.73-1497</f>
        <v>-13577.73</v>
      </c>
      <c r="AB41" s="146">
        <f t="shared" si="32"/>
        <v>-0.015827621487949337</v>
      </c>
      <c r="AC41" s="69">
        <f>-12664.63-1497</f>
        <v>-14161.63</v>
      </c>
      <c r="AD41" s="146">
        <f t="shared" si="24"/>
        <v>-0.022774381660267497</v>
      </c>
      <c r="AE41" s="69">
        <f>-10964.29-1497</f>
        <v>-12461.29</v>
      </c>
      <c r="AF41" s="146">
        <f t="shared" si="33"/>
        <v>-0.01840987581977516</v>
      </c>
      <c r="AG41" s="229">
        <f t="shared" si="41"/>
        <v>-56949.3</v>
      </c>
      <c r="AH41" s="228">
        <f t="shared" si="34"/>
        <v>-0.03524252361824233</v>
      </c>
      <c r="AI41" s="69">
        <f>-14782.5-1497</f>
        <v>-16279.5</v>
      </c>
      <c r="AJ41" s="146">
        <f t="shared" si="34"/>
        <v>-0.027184281525592668</v>
      </c>
      <c r="AK41" s="69">
        <f>-18283.91-1497</f>
        <v>-19780.91</v>
      </c>
      <c r="AL41" s="146">
        <f t="shared" si="35"/>
        <v>-0.0427603821019933</v>
      </c>
      <c r="AM41" s="69">
        <f>-19457.89-1431</f>
        <v>-20888.89</v>
      </c>
      <c r="AN41" s="146">
        <f t="shared" si="36"/>
        <v>-0.03767364274482059</v>
      </c>
    </row>
    <row r="42" spans="2:40" ht="12.75">
      <c r="B42" s="68" t="s">
        <v>53</v>
      </c>
      <c r="C42" s="53" t="s">
        <v>229</v>
      </c>
      <c r="D42" s="17" t="s">
        <v>276</v>
      </c>
      <c r="E42" s="17"/>
      <c r="F42" s="17"/>
      <c r="G42" s="202">
        <f t="shared" si="37"/>
        <v>-205890.07</v>
      </c>
      <c r="H42" s="146">
        <f t="shared" si="21"/>
        <v>-0.04098175491657334</v>
      </c>
      <c r="I42" s="229">
        <f t="shared" si="38"/>
        <v>0</v>
      </c>
      <c r="J42" s="228" t="e">
        <f t="shared" si="25"/>
        <v>#DIV/0!</v>
      </c>
      <c r="K42" s="69"/>
      <c r="L42" s="146" t="e">
        <f t="shared" si="26"/>
        <v>#DIV/0!</v>
      </c>
      <c r="M42" s="69"/>
      <c r="N42" s="146" t="e">
        <f t="shared" si="27"/>
        <v>#DIV/0!</v>
      </c>
      <c r="O42" s="184"/>
      <c r="P42" s="146" t="e">
        <f t="shared" si="28"/>
        <v>#DIV/0!</v>
      </c>
      <c r="Q42" s="229">
        <f t="shared" si="39"/>
        <v>-4100.8099999999995</v>
      </c>
      <c r="R42" s="228">
        <f t="shared" si="29"/>
        <v>-0.00327680721494168</v>
      </c>
      <c r="S42" s="184"/>
      <c r="T42" s="146" t="e">
        <f t="shared" si="30"/>
        <v>#DIV/0!</v>
      </c>
      <c r="U42" s="69">
        <v>-1900</v>
      </c>
      <c r="V42" s="146">
        <f t="shared" si="22"/>
        <v>-0.0030357226910141424</v>
      </c>
      <c r="W42" s="69">
        <f>-1328.73-872.08</f>
        <v>-2200.81</v>
      </c>
      <c r="X42" s="146">
        <f t="shared" si="23"/>
        <v>-0.0035180058483544317</v>
      </c>
      <c r="Y42" s="229">
        <f t="shared" si="40"/>
        <v>-175946.09999999998</v>
      </c>
      <c r="Z42" s="228">
        <f t="shared" si="31"/>
        <v>-0.08158669481676377</v>
      </c>
      <c r="AA42" s="69">
        <f>-82391.79+1017.23</f>
        <v>-81374.56</v>
      </c>
      <c r="AB42" s="146">
        <f t="shared" si="32"/>
        <v>-0.09485869393694106</v>
      </c>
      <c r="AC42" s="69">
        <f>-88711.56+55</f>
        <v>-88656.56</v>
      </c>
      <c r="AD42" s="146">
        <f t="shared" si="24"/>
        <v>-0.14257527799599376</v>
      </c>
      <c r="AE42" s="69">
        <v>-5914.98</v>
      </c>
      <c r="AF42" s="146">
        <f t="shared" si="33"/>
        <v>-0.008738585433486715</v>
      </c>
      <c r="AG42" s="229">
        <f t="shared" si="41"/>
        <v>-25843.16</v>
      </c>
      <c r="AH42" s="228">
        <f t="shared" si="34"/>
        <v>-0.015992789668529996</v>
      </c>
      <c r="AI42" s="69">
        <v>-10399</v>
      </c>
      <c r="AJ42" s="146">
        <f t="shared" si="34"/>
        <v>-0.0173647436091181</v>
      </c>
      <c r="AK42" s="69">
        <v>-9244.16</v>
      </c>
      <c r="AL42" s="146">
        <f t="shared" si="35"/>
        <v>-0.01998309551036643</v>
      </c>
      <c r="AM42" s="69">
        <v>-6200</v>
      </c>
      <c r="AN42" s="146">
        <f t="shared" si="36"/>
        <v>-0.011181857198629876</v>
      </c>
    </row>
    <row r="43" spans="2:40" ht="12.75">
      <c r="B43" s="68" t="s">
        <v>53</v>
      </c>
      <c r="C43" s="53" t="s">
        <v>230</v>
      </c>
      <c r="D43" s="17" t="s">
        <v>295</v>
      </c>
      <c r="E43" s="17"/>
      <c r="F43" s="17"/>
      <c r="G43" s="202">
        <f t="shared" si="37"/>
        <v>-1201.31</v>
      </c>
      <c r="H43" s="146">
        <f t="shared" si="21"/>
        <v>-0.00023911688406744782</v>
      </c>
      <c r="I43" s="229"/>
      <c r="J43" s="228"/>
      <c r="K43" s="69"/>
      <c r="L43" s="146"/>
      <c r="M43" s="69"/>
      <c r="N43" s="146"/>
      <c r="O43" s="184"/>
      <c r="P43" s="146"/>
      <c r="Q43" s="229"/>
      <c r="R43" s="228"/>
      <c r="S43" s="184"/>
      <c r="T43" s="146"/>
      <c r="U43" s="69"/>
      <c r="V43" s="146"/>
      <c r="W43" s="69"/>
      <c r="X43" s="146"/>
      <c r="Y43" s="229">
        <f t="shared" si="40"/>
        <v>-453.14</v>
      </c>
      <c r="Z43" s="228"/>
      <c r="AA43" s="69">
        <v>-212.34</v>
      </c>
      <c r="AB43" s="146"/>
      <c r="AC43" s="69">
        <v>0</v>
      </c>
      <c r="AD43" s="146"/>
      <c r="AE43" s="69">
        <v>-240.8</v>
      </c>
      <c r="AF43" s="146"/>
      <c r="AG43" s="229">
        <f t="shared" si="41"/>
        <v>-748.1700000000001</v>
      </c>
      <c r="AH43" s="228">
        <f t="shared" si="34"/>
        <v>-0.0004629977698665368</v>
      </c>
      <c r="AI43" s="69">
        <v>-531.33</v>
      </c>
      <c r="AJ43" s="146">
        <f t="shared" si="34"/>
        <v>-0.0008872400444112628</v>
      </c>
      <c r="AK43" s="69">
        <v>-186.84</v>
      </c>
      <c r="AL43" s="146">
        <f t="shared" si="35"/>
        <v>-0.0004038919236747161</v>
      </c>
      <c r="AM43" s="69">
        <v>-30</v>
      </c>
      <c r="AN43" s="146">
        <f t="shared" si="36"/>
        <v>-5.410576063853166E-05</v>
      </c>
    </row>
    <row r="44" spans="2:40" ht="12.75">
      <c r="B44" s="68" t="s">
        <v>53</v>
      </c>
      <c r="C44" s="53" t="s">
        <v>293</v>
      </c>
      <c r="D44" s="17" t="s">
        <v>231</v>
      </c>
      <c r="E44" s="17"/>
      <c r="F44" s="17"/>
      <c r="G44" s="202">
        <f t="shared" si="37"/>
        <v>-233875.35</v>
      </c>
      <c r="H44" s="146">
        <f t="shared" si="21"/>
        <v>-0.046552134713091366</v>
      </c>
      <c r="I44" s="229">
        <f t="shared" si="38"/>
        <v>0</v>
      </c>
      <c r="J44" s="228" t="e">
        <f t="shared" si="25"/>
        <v>#DIV/0!</v>
      </c>
      <c r="K44" s="69"/>
      <c r="L44" s="146" t="e">
        <f t="shared" si="26"/>
        <v>#DIV/0!</v>
      </c>
      <c r="M44" s="69"/>
      <c r="N44" s="146" t="e">
        <f t="shared" si="27"/>
        <v>#DIV/0!</v>
      </c>
      <c r="O44" s="184"/>
      <c r="P44" s="146" t="e">
        <f t="shared" si="28"/>
        <v>#DIV/0!</v>
      </c>
      <c r="Q44" s="229">
        <f t="shared" si="39"/>
        <v>-76569.42</v>
      </c>
      <c r="R44" s="228">
        <f t="shared" si="29"/>
        <v>-0.061183821708369765</v>
      </c>
      <c r="S44" s="184"/>
      <c r="T44" s="146" t="e">
        <f t="shared" si="30"/>
        <v>#DIV/0!</v>
      </c>
      <c r="U44" s="69">
        <v>-38350.35</v>
      </c>
      <c r="V44" s="146">
        <f t="shared" si="22"/>
        <v>-0.06127422510701801</v>
      </c>
      <c r="W44" s="69">
        <v>-38219.07</v>
      </c>
      <c r="X44" s="146">
        <f t="shared" si="23"/>
        <v>-0.061093375520225465</v>
      </c>
      <c r="Y44" s="229">
        <f t="shared" si="40"/>
        <v>-85567.89</v>
      </c>
      <c r="Z44" s="228">
        <f t="shared" si="31"/>
        <v>-0.03967806804211297</v>
      </c>
      <c r="AA44" s="69">
        <v>-37749.96</v>
      </c>
      <c r="AB44" s="146">
        <f t="shared" si="32"/>
        <v>-0.044005299712487136</v>
      </c>
      <c r="AC44" s="69">
        <v>-23914.78</v>
      </c>
      <c r="AD44" s="146">
        <f t="shared" si="24"/>
        <v>-0.03845915526964989</v>
      </c>
      <c r="AE44" s="69">
        <v>-23903.15</v>
      </c>
      <c r="AF44" s="146">
        <f t="shared" si="33"/>
        <v>-0.03531368126425584</v>
      </c>
      <c r="AG44" s="229">
        <f t="shared" si="41"/>
        <v>-71738.04000000001</v>
      </c>
      <c r="AH44" s="228">
        <f t="shared" si="34"/>
        <v>-0.04439439236349548</v>
      </c>
      <c r="AI44" s="69">
        <v>-23903.15</v>
      </c>
      <c r="AJ44" s="146">
        <f t="shared" si="34"/>
        <v>-0.03991461402060692</v>
      </c>
      <c r="AK44" s="69">
        <v>-23903.15</v>
      </c>
      <c r="AL44" s="146">
        <f t="shared" si="35"/>
        <v>-0.05167142600827067</v>
      </c>
      <c r="AM44" s="69">
        <v>-23931.74</v>
      </c>
      <c r="AN44" s="146">
        <f t="shared" si="36"/>
        <v>-0.04316149987011913</v>
      </c>
    </row>
    <row r="45" spans="2:40" ht="12.75">
      <c r="B45" s="68" t="s">
        <v>53</v>
      </c>
      <c r="C45" s="53" t="s">
        <v>294</v>
      </c>
      <c r="D45" s="17" t="s">
        <v>232</v>
      </c>
      <c r="E45" s="17"/>
      <c r="F45" s="17"/>
      <c r="G45" s="202">
        <f t="shared" si="37"/>
        <v>-18304.239999999998</v>
      </c>
      <c r="H45" s="146">
        <f t="shared" si="21"/>
        <v>-0.003643399983370438</v>
      </c>
      <c r="I45" s="229">
        <f t="shared" si="38"/>
        <v>0</v>
      </c>
      <c r="J45" s="228" t="e">
        <f t="shared" si="25"/>
        <v>#DIV/0!</v>
      </c>
      <c r="K45" s="69"/>
      <c r="L45" s="146" t="e">
        <f t="shared" si="26"/>
        <v>#DIV/0!</v>
      </c>
      <c r="M45" s="69"/>
      <c r="N45" s="146" t="e">
        <f t="shared" si="27"/>
        <v>#DIV/0!</v>
      </c>
      <c r="O45" s="184"/>
      <c r="P45" s="146" t="e">
        <f t="shared" si="28"/>
        <v>#DIV/0!</v>
      </c>
      <c r="Q45" s="229">
        <f t="shared" si="39"/>
        <v>23208.2</v>
      </c>
      <c r="R45" s="228">
        <f t="shared" si="29"/>
        <v>0.01854482338996674</v>
      </c>
      <c r="S45" s="184"/>
      <c r="T45" s="146" t="e">
        <f t="shared" si="30"/>
        <v>#DIV/0!</v>
      </c>
      <c r="U45" s="69">
        <v>45599.82</v>
      </c>
      <c r="V45" s="146">
        <f t="shared" si="22"/>
        <v>0.07285705698955817</v>
      </c>
      <c r="W45" s="69">
        <v>-22391.62</v>
      </c>
      <c r="X45" s="146">
        <f t="shared" si="23"/>
        <v>-0.03579311713147889</v>
      </c>
      <c r="Y45" s="229">
        <f t="shared" si="40"/>
        <v>-4887.039999999999</v>
      </c>
      <c r="Z45" s="228">
        <f t="shared" si="31"/>
        <v>-0.0022661340094342368</v>
      </c>
      <c r="AA45" s="69">
        <v>-108.82</v>
      </c>
      <c r="AB45" s="146">
        <f t="shared" si="32"/>
        <v>-0.00012685196791500838</v>
      </c>
      <c r="AC45" s="69">
        <f>15622.94-300</f>
        <v>15322.94</v>
      </c>
      <c r="AD45" s="146">
        <f t="shared" si="24"/>
        <v>0.024641971560998222</v>
      </c>
      <c r="AE45" s="69">
        <v>-20101.16</v>
      </c>
      <c r="AF45" s="146">
        <f t="shared" si="33"/>
        <v>-0.029696753661413198</v>
      </c>
      <c r="AG45" s="229">
        <f t="shared" si="41"/>
        <v>-36625.4</v>
      </c>
      <c r="AH45" s="228">
        <f t="shared" si="34"/>
        <v>-0.022665274630725443</v>
      </c>
      <c r="AI45" s="69">
        <v>-15197.04</v>
      </c>
      <c r="AJ45" s="146">
        <f t="shared" si="34"/>
        <v>-0.02537673845730476</v>
      </c>
      <c r="AK45" s="69">
        <v>-18183.32</v>
      </c>
      <c r="AL45" s="146">
        <f t="shared" si="35"/>
        <v>-0.039306872691034785</v>
      </c>
      <c r="AM45" s="69">
        <v>-3245.04</v>
      </c>
      <c r="AN45" s="146">
        <f t="shared" si="36"/>
        <v>-0.005852511916748693</v>
      </c>
    </row>
    <row r="46" spans="2:40" ht="9" customHeight="1">
      <c r="B46" s="68"/>
      <c r="C46" s="53"/>
      <c r="D46" s="17"/>
      <c r="E46" s="17"/>
      <c r="F46" s="17"/>
      <c r="G46" s="69"/>
      <c r="H46" s="146"/>
      <c r="I46" s="220"/>
      <c r="J46" s="228"/>
      <c r="K46" s="69"/>
      <c r="L46" s="146"/>
      <c r="M46" s="69"/>
      <c r="N46" s="146"/>
      <c r="O46" s="69"/>
      <c r="P46" s="146"/>
      <c r="Q46" s="220"/>
      <c r="R46" s="228"/>
      <c r="S46" s="69"/>
      <c r="T46" s="146"/>
      <c r="U46" s="69"/>
      <c r="V46" s="146"/>
      <c r="W46" s="69"/>
      <c r="X46" s="146"/>
      <c r="Y46" s="220"/>
      <c r="Z46" s="228"/>
      <c r="AA46" s="69"/>
      <c r="AB46" s="146"/>
      <c r="AC46" s="69"/>
      <c r="AD46" s="146"/>
      <c r="AE46" s="69"/>
      <c r="AF46" s="146"/>
      <c r="AG46" s="220"/>
      <c r="AH46" s="228"/>
      <c r="AI46" s="69"/>
      <c r="AJ46" s="146"/>
      <c r="AK46" s="69"/>
      <c r="AL46" s="146"/>
      <c r="AM46" s="69"/>
      <c r="AN46" s="146"/>
    </row>
    <row r="47" spans="2:40" ht="12.75">
      <c r="B47" s="68" t="s">
        <v>53</v>
      </c>
      <c r="C47" s="50" t="s">
        <v>233</v>
      </c>
      <c r="D47" s="50"/>
      <c r="E47" s="50"/>
      <c r="F47" s="50"/>
      <c r="G47" s="70">
        <f>G48</f>
        <v>-295826.02999999997</v>
      </c>
      <c r="H47" s="147">
        <f>+G47/G$5</f>
        <v>-0.05888321792013996</v>
      </c>
      <c r="I47" s="218">
        <f>I48</f>
        <v>0</v>
      </c>
      <c r="J47" s="226" t="e">
        <f>+I47/I$5</f>
        <v>#DIV/0!</v>
      </c>
      <c r="K47" s="70">
        <f>K48</f>
        <v>0</v>
      </c>
      <c r="L47" s="147" t="e">
        <f>+K47/K$5</f>
        <v>#DIV/0!</v>
      </c>
      <c r="M47" s="70">
        <f>M48</f>
        <v>0</v>
      </c>
      <c r="N47" s="147" t="e">
        <f>+M47/M$5</f>
        <v>#DIV/0!</v>
      </c>
      <c r="O47" s="70">
        <f>O48</f>
        <v>0</v>
      </c>
      <c r="P47" s="147" t="e">
        <f>+O47/O$5</f>
        <v>#DIV/0!</v>
      </c>
      <c r="Q47" s="218">
        <f>Q48</f>
        <v>-34170.78</v>
      </c>
      <c r="R47" s="226">
        <f>+Q47/Q$5</f>
        <v>-0.02730461992732774</v>
      </c>
      <c r="S47" s="70">
        <f>S48</f>
        <v>0</v>
      </c>
      <c r="T47" s="147" t="e">
        <f>+S47/S$5</f>
        <v>#DIV/0!</v>
      </c>
      <c r="U47" s="70">
        <f>U48</f>
        <v>-13447.37</v>
      </c>
      <c r="V47" s="147">
        <f>+U47/U$5</f>
        <v>-0.021485519075506766</v>
      </c>
      <c r="W47" s="70">
        <f>W48</f>
        <v>-20723.41</v>
      </c>
      <c r="X47" s="147">
        <f>+W47/W$5</f>
        <v>-0.03312647506047624</v>
      </c>
      <c r="Y47" s="218">
        <f>Y48</f>
        <v>-108890.9</v>
      </c>
      <c r="Z47" s="226">
        <f>+Y47/Y$5</f>
        <v>-0.05049301249998006</v>
      </c>
      <c r="AA47" s="70">
        <f>AA48</f>
        <v>-9218.12</v>
      </c>
      <c r="AB47" s="147">
        <f>+AA47/AA$5</f>
        <v>-0.0107456043234396</v>
      </c>
      <c r="AC47" s="70">
        <f>AC48</f>
        <v>-87373.76</v>
      </c>
      <c r="AD47" s="147">
        <f>+AC47/AC$5</f>
        <v>-0.14051231089448135</v>
      </c>
      <c r="AE47" s="70">
        <f>AE48</f>
        <v>-12299.02</v>
      </c>
      <c r="AF47" s="147">
        <f>+AE47/AE$5</f>
        <v>-0.018170143773632675</v>
      </c>
      <c r="AG47" s="218">
        <f>AG48</f>
        <v>-152764.35</v>
      </c>
      <c r="AH47" s="226">
        <f>+AG47/AG$5</f>
        <v>-0.09453674080103597</v>
      </c>
      <c r="AI47" s="70">
        <f>AI48</f>
        <v>-39505.91</v>
      </c>
      <c r="AJ47" s="147">
        <f>+AI47/AI$5</f>
        <v>-0.06596884298441148</v>
      </c>
      <c r="AK47" s="70">
        <f>AK48</f>
        <v>-64562.04</v>
      </c>
      <c r="AL47" s="147">
        <f>+AK47/AK$5</f>
        <v>-0.13956372581868962</v>
      </c>
      <c r="AM47" s="70">
        <f>AM48</f>
        <v>-48696.4</v>
      </c>
      <c r="AN47" s="147">
        <f>+AM47/AM$5</f>
        <v>-0.08782519207860644</v>
      </c>
    </row>
    <row r="48" spans="2:40" ht="12.75">
      <c r="B48" s="68" t="s">
        <v>53</v>
      </c>
      <c r="C48" s="53" t="s">
        <v>255</v>
      </c>
      <c r="D48" s="17" t="s">
        <v>234</v>
      </c>
      <c r="E48" s="50"/>
      <c r="F48" s="50"/>
      <c r="G48" s="202">
        <f>AM48+AK48+AI48+AE48+AC48+AA48+W48+U48+S48+O48+M48+K48</f>
        <v>-295826.02999999997</v>
      </c>
      <c r="H48" s="146">
        <f>+G48/G$5</f>
        <v>-0.05888321792013996</v>
      </c>
      <c r="I48" s="229">
        <f>O48+M48+K48</f>
        <v>0</v>
      </c>
      <c r="J48" s="228" t="e">
        <f>+I48/I$5</f>
        <v>#DIV/0!</v>
      </c>
      <c r="K48" s="69"/>
      <c r="L48" s="146" t="e">
        <f>+K48/K$5</f>
        <v>#DIV/0!</v>
      </c>
      <c r="M48" s="69"/>
      <c r="N48" s="146" t="e">
        <f>+M48/M$5</f>
        <v>#DIV/0!</v>
      </c>
      <c r="O48" s="184"/>
      <c r="P48" s="146" t="e">
        <f>+O48/O$5</f>
        <v>#DIV/0!</v>
      </c>
      <c r="Q48" s="229">
        <f>W48+U48+S48</f>
        <v>-34170.78</v>
      </c>
      <c r="R48" s="228">
        <f>+Q48/Q$5</f>
        <v>-0.02730461992732774</v>
      </c>
      <c r="S48" s="184"/>
      <c r="T48" s="146" t="e">
        <f>+S48/S$5</f>
        <v>#DIV/0!</v>
      </c>
      <c r="U48" s="69">
        <v>-13447.37</v>
      </c>
      <c r="V48" s="146">
        <f>+U48/U$5</f>
        <v>-0.021485519075506766</v>
      </c>
      <c r="W48" s="69">
        <v>-20723.41</v>
      </c>
      <c r="X48" s="146">
        <f>+W48/W$5</f>
        <v>-0.03312647506047624</v>
      </c>
      <c r="Y48" s="229">
        <f>AE48+AC48+AA48</f>
        <v>-108890.9</v>
      </c>
      <c r="Z48" s="228">
        <f>+Y48/Y$5</f>
        <v>-0.05049301249998006</v>
      </c>
      <c r="AA48" s="69">
        <v>-9218.12</v>
      </c>
      <c r="AB48" s="146">
        <f>+AA48/AA$5</f>
        <v>-0.0107456043234396</v>
      </c>
      <c r="AC48" s="69">
        <v>-87373.76</v>
      </c>
      <c r="AD48" s="146">
        <f>+AC48/AC$5</f>
        <v>-0.14051231089448135</v>
      </c>
      <c r="AE48" s="69">
        <f>-43758.82+31459.8</f>
        <v>-12299.02</v>
      </c>
      <c r="AF48" s="146">
        <f>+AE48/AE$5</f>
        <v>-0.018170143773632675</v>
      </c>
      <c r="AG48" s="229">
        <f>AM48+AK48+AI48</f>
        <v>-152764.35</v>
      </c>
      <c r="AH48" s="228">
        <f>+AG48/AG$5</f>
        <v>-0.09453674080103597</v>
      </c>
      <c r="AI48" s="69">
        <v>-39505.91</v>
      </c>
      <c r="AJ48" s="146">
        <f>+AI48/AI$5</f>
        <v>-0.06596884298441148</v>
      </c>
      <c r="AK48" s="69">
        <f>-65413.56+851.52</f>
        <v>-64562.04</v>
      </c>
      <c r="AL48" s="146">
        <f>+AK48/AK$5</f>
        <v>-0.13956372581868962</v>
      </c>
      <c r="AM48" s="69">
        <v>-48696.4</v>
      </c>
      <c r="AN48" s="146">
        <f>+AM48/AM$5</f>
        <v>-0.08782519207860644</v>
      </c>
    </row>
    <row r="49" spans="2:40" ht="8.25" customHeight="1">
      <c r="B49" s="68"/>
      <c r="C49" s="53"/>
      <c r="D49" s="17"/>
      <c r="E49" s="17"/>
      <c r="F49" s="17"/>
      <c r="G49" s="69"/>
      <c r="H49" s="146"/>
      <c r="I49" s="220"/>
      <c r="J49" s="228"/>
      <c r="K49" s="69"/>
      <c r="L49" s="146"/>
      <c r="M49" s="69"/>
      <c r="N49" s="146"/>
      <c r="O49" s="69"/>
      <c r="P49" s="146"/>
      <c r="Q49" s="220"/>
      <c r="R49" s="228"/>
      <c r="S49" s="69"/>
      <c r="T49" s="146"/>
      <c r="U49" s="69"/>
      <c r="V49" s="146"/>
      <c r="W49" s="69"/>
      <c r="X49" s="146"/>
      <c r="Y49" s="220"/>
      <c r="Z49" s="228"/>
      <c r="AA49" s="69"/>
      <c r="AB49" s="146"/>
      <c r="AC49" s="69"/>
      <c r="AD49" s="146"/>
      <c r="AE49" s="69"/>
      <c r="AF49" s="146"/>
      <c r="AG49" s="220"/>
      <c r="AH49" s="228"/>
      <c r="AI49" s="69"/>
      <c r="AJ49" s="146"/>
      <c r="AK49" s="69"/>
      <c r="AL49" s="146"/>
      <c r="AM49" s="69"/>
      <c r="AN49" s="146"/>
    </row>
    <row r="50" spans="2:40" ht="12.75">
      <c r="B50" s="157"/>
      <c r="C50" s="158" t="s">
        <v>30</v>
      </c>
      <c r="D50" s="158"/>
      <c r="E50" s="158"/>
      <c r="F50" s="158"/>
      <c r="G50" s="73">
        <f>G26+G24</f>
        <v>539606.8699999992</v>
      </c>
      <c r="H50" s="166">
        <f>+G50/G$5</f>
        <v>0.10740700849554918</v>
      </c>
      <c r="I50" s="214">
        <f>I26+I24</f>
        <v>0</v>
      </c>
      <c r="J50" s="230" t="e">
        <f>+I50/I$5</f>
        <v>#DIV/0!</v>
      </c>
      <c r="K50" s="205">
        <f>K26+K24</f>
        <v>0</v>
      </c>
      <c r="L50" s="166" t="e">
        <f>+K50/K$5</f>
        <v>#DIV/0!</v>
      </c>
      <c r="M50" s="205">
        <f>M26+M24</f>
        <v>0</v>
      </c>
      <c r="N50" s="166" t="e">
        <f>+M50/M$5</f>
        <v>#DIV/0!</v>
      </c>
      <c r="O50" s="205">
        <f>O26+O24</f>
        <v>0</v>
      </c>
      <c r="P50" s="166" t="e">
        <f>+O50/O$5</f>
        <v>#DIV/0!</v>
      </c>
      <c r="Q50" s="214">
        <f>Q26+Q24</f>
        <v>164384.39999999967</v>
      </c>
      <c r="R50" s="230">
        <f>+Q50/Q$5</f>
        <v>0.13135355891735</v>
      </c>
      <c r="S50" s="205">
        <f>S26+S24</f>
        <v>0</v>
      </c>
      <c r="T50" s="166" t="e">
        <f>+S50/S$5</f>
        <v>#DIV/0!</v>
      </c>
      <c r="U50" s="205">
        <f>U26+U24</f>
        <v>85388.28000000003</v>
      </c>
      <c r="V50" s="166">
        <f>+U50/U$5</f>
        <v>0.13642902060140483</v>
      </c>
      <c r="W50" s="205">
        <f>W26+W24</f>
        <v>78996.12</v>
      </c>
      <c r="X50" s="166">
        <f>+W50/W$5</f>
        <v>0.1262756949292799</v>
      </c>
      <c r="Y50" s="214">
        <f>Y26+Y24</f>
        <v>399341.9499999997</v>
      </c>
      <c r="Z50" s="230">
        <f>+Y50/Y$5</f>
        <v>0.18517597038059563</v>
      </c>
      <c r="AA50" s="205">
        <f>AA26+AA24</f>
        <v>251710.85999999987</v>
      </c>
      <c r="AB50" s="166">
        <f>+AA50/AA$5</f>
        <v>0.2934204919737103</v>
      </c>
      <c r="AC50" s="205">
        <f>AC26+AC24</f>
        <v>-25553.350000000093</v>
      </c>
      <c r="AD50" s="166">
        <f>+AC50/AC$5</f>
        <v>-0.04109426284957301</v>
      </c>
      <c r="AE50" s="205">
        <f>AE26+AE24</f>
        <v>173184.43999999994</v>
      </c>
      <c r="AF50" s="166">
        <f>+AE50/AE$5</f>
        <v>0.2558566596489851</v>
      </c>
      <c r="AG50" s="214">
        <f>AG26+AG24</f>
        <v>-24119.480000000214</v>
      </c>
      <c r="AH50" s="230">
        <f>+AG50/AG$5</f>
        <v>-0.014926106968123068</v>
      </c>
      <c r="AI50" s="73">
        <f>AI26+AI24</f>
        <v>37596.08999999997</v>
      </c>
      <c r="AJ50" s="166">
        <f>+AI50/AI$5</f>
        <v>0.06277973493175579</v>
      </c>
      <c r="AK50" s="73">
        <f>AK26+AK24</f>
        <v>-77710.98999999999</v>
      </c>
      <c r="AL50" s="166">
        <f>+AK50/AK$5</f>
        <v>-0.1679878036917503</v>
      </c>
      <c r="AM50" s="73">
        <f>AM26+AM24</f>
        <v>15995.419999999925</v>
      </c>
      <c r="AN50" s="166">
        <f>+AM50/AM$5</f>
        <v>0.02884814552775927</v>
      </c>
    </row>
    <row r="51" spans="2:40" ht="10.5" customHeight="1">
      <c r="B51" s="119"/>
      <c r="C51" s="167"/>
      <c r="D51" s="167"/>
      <c r="E51" s="167"/>
      <c r="F51" s="167"/>
      <c r="G51" s="161"/>
      <c r="H51" s="168"/>
      <c r="I51" s="231"/>
      <c r="J51" s="232"/>
      <c r="K51" s="161"/>
      <c r="L51" s="168"/>
      <c r="M51" s="161"/>
      <c r="N51" s="168"/>
      <c r="O51" s="161"/>
      <c r="P51" s="168"/>
      <c r="Q51" s="231"/>
      <c r="R51" s="232"/>
      <c r="S51" s="161"/>
      <c r="T51" s="168"/>
      <c r="U51" s="161"/>
      <c r="V51" s="168"/>
      <c r="W51" s="161"/>
      <c r="X51" s="168"/>
      <c r="Y51" s="231"/>
      <c r="Z51" s="232"/>
      <c r="AA51" s="161"/>
      <c r="AB51" s="168"/>
      <c r="AC51" s="161"/>
      <c r="AD51" s="168"/>
      <c r="AE51" s="161"/>
      <c r="AF51" s="168"/>
      <c r="AG51" s="231"/>
      <c r="AH51" s="232"/>
      <c r="AI51" s="161"/>
      <c r="AJ51" s="168"/>
      <c r="AK51" s="161"/>
      <c r="AL51" s="168"/>
      <c r="AM51" s="161"/>
      <c r="AN51" s="168"/>
    </row>
    <row r="52" spans="2:40" ht="12.75">
      <c r="B52" s="74"/>
      <c r="C52" s="165" t="s">
        <v>31</v>
      </c>
      <c r="D52" s="50"/>
      <c r="E52" s="50"/>
      <c r="F52" s="50"/>
      <c r="G52" s="70">
        <f>G54+G61</f>
        <v>-162.47000000008848</v>
      </c>
      <c r="H52" s="162">
        <f>+G52/G$5</f>
        <v>-3.2339129911895684E-05</v>
      </c>
      <c r="I52" s="218">
        <f>I54+I61</f>
        <v>0</v>
      </c>
      <c r="J52" s="219" t="e">
        <f>+I52/I$5</f>
        <v>#DIV/0!</v>
      </c>
      <c r="K52" s="70">
        <f>K54+K61</f>
        <v>0</v>
      </c>
      <c r="L52" s="162" t="e">
        <f>+K52/K$5</f>
        <v>#DIV/0!</v>
      </c>
      <c r="M52" s="70">
        <f>M54+M61</f>
        <v>0</v>
      </c>
      <c r="N52" s="162" t="e">
        <f>+M52/M$5</f>
        <v>#DIV/0!</v>
      </c>
      <c r="O52" s="70">
        <f>O54+O61</f>
        <v>0</v>
      </c>
      <c r="P52" s="162" t="e">
        <f>+O52/O$5</f>
        <v>#DIV/0!</v>
      </c>
      <c r="Q52" s="218">
        <f>Q54+Q61</f>
        <v>96812.64000000001</v>
      </c>
      <c r="R52" s="219">
        <f>+Q52/Q$5</f>
        <v>0.07735943807431984</v>
      </c>
      <c r="S52" s="70">
        <f>S54+S61</f>
        <v>0</v>
      </c>
      <c r="T52" s="162" t="e">
        <f>+S52/S$5</f>
        <v>#DIV/0!</v>
      </c>
      <c r="U52" s="70">
        <f>U54+U61</f>
        <v>91869.87999999999</v>
      </c>
      <c r="V52" s="162">
        <f>+U52/U$5</f>
        <v>0.14678498912460333</v>
      </c>
      <c r="W52" s="70">
        <f>W54+W61</f>
        <v>4942.759999999998</v>
      </c>
      <c r="X52" s="162">
        <f>+W52/W$5</f>
        <v>0.007901026706990765</v>
      </c>
      <c r="Y52" s="218">
        <f>Y54+Y61</f>
        <v>40251.22</v>
      </c>
      <c r="Z52" s="219">
        <f>+Y52/Y$5</f>
        <v>0.01866460241029735</v>
      </c>
      <c r="AA52" s="70">
        <f>AA54+AA61</f>
        <v>15392.14</v>
      </c>
      <c r="AB52" s="162">
        <f>+AA52/AA$5</f>
        <v>0.017942687460240005</v>
      </c>
      <c r="AC52" s="70">
        <f>AC54+AC61</f>
        <v>9145.439999999995</v>
      </c>
      <c r="AD52" s="162">
        <f>+AC52/AC$5</f>
        <v>0.0147074694799311</v>
      </c>
      <c r="AE52" s="70">
        <f>AE54+AE61</f>
        <v>15713.64</v>
      </c>
      <c r="AF52" s="162">
        <f>+AE52/AE$5</f>
        <v>0.023214784430556686</v>
      </c>
      <c r="AG52" s="218">
        <f>AG54+AG61</f>
        <v>-137226.33000000002</v>
      </c>
      <c r="AH52" s="219">
        <f>+AG52/AG$5</f>
        <v>-0.08492118737314973</v>
      </c>
      <c r="AI52" s="70">
        <f>AI54+AI61</f>
        <v>-27190.520000000004</v>
      </c>
      <c r="AJ52" s="162">
        <f>+AI52/AI$5</f>
        <v>-0.04540402042490605</v>
      </c>
      <c r="AK52" s="70">
        <f>AK54+AK61</f>
        <v>-41727.17</v>
      </c>
      <c r="AL52" s="162">
        <f>+AK52/AK$5</f>
        <v>-0.0902016000899267</v>
      </c>
      <c r="AM52" s="70">
        <f>AM54+AM61</f>
        <v>-68308.64</v>
      </c>
      <c r="AN52" s="162">
        <f>+AM52/AM$5</f>
        <v>-0.12319636417945432</v>
      </c>
    </row>
    <row r="53" spans="2:40" ht="7.5" customHeight="1">
      <c r="B53" s="68"/>
      <c r="C53" s="53"/>
      <c r="D53" s="17"/>
      <c r="E53" s="17"/>
      <c r="F53" s="17"/>
      <c r="G53" s="69"/>
      <c r="H53" s="162"/>
      <c r="I53" s="233"/>
      <c r="J53" s="219"/>
      <c r="K53" s="69"/>
      <c r="L53" s="162"/>
      <c r="M53" s="69"/>
      <c r="N53" s="162"/>
      <c r="O53" s="69"/>
      <c r="P53" s="162"/>
      <c r="Q53" s="233"/>
      <c r="R53" s="219"/>
      <c r="S53" s="69"/>
      <c r="T53" s="162"/>
      <c r="U53" s="69"/>
      <c r="V53" s="162"/>
      <c r="W53" s="69"/>
      <c r="X53" s="162"/>
      <c r="Y53" s="233"/>
      <c r="Z53" s="219"/>
      <c r="AA53" s="69"/>
      <c r="AB53" s="162"/>
      <c r="AC53" s="69"/>
      <c r="AD53" s="162"/>
      <c r="AE53" s="69"/>
      <c r="AF53" s="162"/>
      <c r="AG53" s="233"/>
      <c r="AH53" s="219"/>
      <c r="AI53" s="69"/>
      <c r="AJ53" s="162"/>
      <c r="AK53" s="69"/>
      <c r="AL53" s="162"/>
      <c r="AM53" s="69"/>
      <c r="AN53" s="162"/>
    </row>
    <row r="54" spans="2:40" ht="15" customHeight="1">
      <c r="B54" s="74" t="s">
        <v>32</v>
      </c>
      <c r="C54" s="165" t="s">
        <v>267</v>
      </c>
      <c r="D54" s="50" t="s">
        <v>235</v>
      </c>
      <c r="E54" s="50"/>
      <c r="F54" s="50"/>
      <c r="G54" s="70">
        <f>SUM(G55:G59)</f>
        <v>384504.69999999995</v>
      </c>
      <c r="H54" s="162">
        <f aca="true" t="shared" si="42" ref="H54:H59">+G54/G$5</f>
        <v>0.07653442140104452</v>
      </c>
      <c r="I54" s="218">
        <f>SUM(I55:I59)</f>
        <v>0</v>
      </c>
      <c r="J54" s="219" t="e">
        <f aca="true" t="shared" si="43" ref="J54:J59">+I54/I$5</f>
        <v>#DIV/0!</v>
      </c>
      <c r="K54" s="183">
        <f>SUM(K55:K59)</f>
        <v>0</v>
      </c>
      <c r="L54" s="162" t="e">
        <f aca="true" t="shared" si="44" ref="L54:L59">+K54/K$5</f>
        <v>#DIV/0!</v>
      </c>
      <c r="M54" s="183">
        <f>SUM(M55:M59)</f>
        <v>0</v>
      </c>
      <c r="N54" s="162" t="e">
        <f aca="true" t="shared" si="45" ref="N54:N59">+M54/M$5</f>
        <v>#DIV/0!</v>
      </c>
      <c r="O54" s="183">
        <f>SUM(O55:O59)</f>
        <v>0</v>
      </c>
      <c r="P54" s="162" t="e">
        <f aca="true" t="shared" si="46" ref="P54:P59">+O54/O$5</f>
        <v>#DIV/0!</v>
      </c>
      <c r="Q54" s="218">
        <f>SUM(Q55:Q59)</f>
        <v>136073.98</v>
      </c>
      <c r="R54" s="219">
        <f aca="true" t="shared" si="47" ref="R54:R59">+Q54/Q$5</f>
        <v>0.10873173822484582</v>
      </c>
      <c r="S54" s="183">
        <f>SUM(S55:S59)</f>
        <v>0</v>
      </c>
      <c r="T54" s="162" t="e">
        <f aca="true" t="shared" si="48" ref="T54:T59">+S54/S$5</f>
        <v>#DIV/0!</v>
      </c>
      <c r="U54" s="70">
        <f>SUM(U55:U59)</f>
        <v>108085.93</v>
      </c>
      <c r="V54" s="162">
        <f aca="true" t="shared" si="49" ref="V54:V59">+U54/U$5</f>
        <v>0.17269416330545592</v>
      </c>
      <c r="W54" s="70">
        <f>SUM(W55:W59)</f>
        <v>27988.05</v>
      </c>
      <c r="X54" s="162">
        <f aca="true" t="shared" si="50" ref="X54:X59">+W54/W$5</f>
        <v>0.04473903861943387</v>
      </c>
      <c r="Y54" s="218">
        <f>SUM(Y55:Y59)</f>
        <v>108172.03</v>
      </c>
      <c r="Z54" s="219">
        <f aca="true" t="shared" si="51" ref="Z54:Z59">+Y54/Y$5</f>
        <v>0.050159670486130785</v>
      </c>
      <c r="AA54" s="70">
        <f>SUM(AA55:AA59)</f>
        <v>33859.11</v>
      </c>
      <c r="AB54" s="162">
        <f aca="true" t="shared" si="52" ref="AB54:AB59">+AA54/AA$5</f>
        <v>0.039469718207597315</v>
      </c>
      <c r="AC54" s="70">
        <f>SUM(AC55:AC59)</f>
        <v>36367.96</v>
      </c>
      <c r="AD54" s="162">
        <f aca="true" t="shared" si="53" ref="AD54:AD59">+AC54/AC$5</f>
        <v>0.05848605006947237</v>
      </c>
      <c r="AE54" s="70">
        <f>SUM(AE55:AE59)</f>
        <v>37944.96</v>
      </c>
      <c r="AF54" s="162">
        <f aca="true" t="shared" si="54" ref="AF54:AF59">+AE54/AE$5</f>
        <v>0.05605856228258355</v>
      </c>
      <c r="AG54" s="218">
        <f>SUM(AG55:AG59)</f>
        <v>140258.69</v>
      </c>
      <c r="AH54" s="219">
        <f aca="true" t="shared" si="55" ref="AH54:AJ59">+AG54/AG$5</f>
        <v>0.08679773403691932</v>
      </c>
      <c r="AI54" s="70">
        <f>SUM(AI55:AI59)</f>
        <v>86594.09999999999</v>
      </c>
      <c r="AJ54" s="162">
        <f t="shared" si="55"/>
        <v>0.14459893687492392</v>
      </c>
      <c r="AK54" s="70">
        <f>SUM(AK55:AK59)</f>
        <v>28770.95</v>
      </c>
      <c r="AL54" s="162">
        <f aca="true" t="shared" si="56" ref="AL54:AL59">+AK54/AK$5</f>
        <v>0.06219414655025195</v>
      </c>
      <c r="AM54" s="70">
        <f>SUM(AM55:AM59)</f>
        <v>24893.64</v>
      </c>
      <c r="AN54" s="162">
        <f aca="true" t="shared" si="57" ref="AN54:AN59">+AM54/AM$5</f>
        <v>0.04489631090872591</v>
      </c>
    </row>
    <row r="55" spans="2:40" ht="12.75">
      <c r="B55" s="68" t="s">
        <v>32</v>
      </c>
      <c r="C55" s="53" t="s">
        <v>268</v>
      </c>
      <c r="D55" s="17" t="s">
        <v>236</v>
      </c>
      <c r="E55" s="17"/>
      <c r="F55" s="17"/>
      <c r="G55" s="202">
        <f>AM55+AK55+AI55+AE55+AC55+AA55+W55+U55+S55+O55+M55+K55</f>
        <v>212994.67999999996</v>
      </c>
      <c r="H55" s="163">
        <f t="shared" si="42"/>
        <v>0.042395904641219284</v>
      </c>
      <c r="I55" s="234">
        <f>O55+M55+K55</f>
        <v>0</v>
      </c>
      <c r="J55" s="221" t="e">
        <f t="shared" si="43"/>
        <v>#DIV/0!</v>
      </c>
      <c r="K55" s="69"/>
      <c r="L55" s="163" t="e">
        <f t="shared" si="44"/>
        <v>#DIV/0!</v>
      </c>
      <c r="M55" s="69"/>
      <c r="N55" s="163" t="e">
        <f t="shared" si="45"/>
        <v>#DIV/0!</v>
      </c>
      <c r="O55" s="69"/>
      <c r="P55" s="163" t="e">
        <f t="shared" si="46"/>
        <v>#DIV/0!</v>
      </c>
      <c r="Q55" s="234">
        <f>W55+U55+S55</f>
        <v>40612.56</v>
      </c>
      <c r="R55" s="221">
        <f t="shared" si="47"/>
        <v>0.03245201060894114</v>
      </c>
      <c r="S55" s="69"/>
      <c r="T55" s="163" t="e">
        <f t="shared" si="48"/>
        <v>#DIV/0!</v>
      </c>
      <c r="U55" s="69">
        <f>18642.02-1.78</f>
        <v>18640.24</v>
      </c>
      <c r="V55" s="163">
        <f t="shared" si="49"/>
        <v>0.029782420807341826</v>
      </c>
      <c r="W55" s="69">
        <f>21972.81-0.49</f>
        <v>21972.32</v>
      </c>
      <c r="X55" s="163">
        <f t="shared" si="50"/>
        <v>0.03512286397368017</v>
      </c>
      <c r="Y55" s="234">
        <f>AE55+AC55+AA55</f>
        <v>62325.979999999996</v>
      </c>
      <c r="Z55" s="221">
        <f t="shared" si="51"/>
        <v>0.028900729879296684</v>
      </c>
      <c r="AA55" s="69">
        <f>19977.42-0.62</f>
        <v>19976.8</v>
      </c>
      <c r="AB55" s="163">
        <f t="shared" si="52"/>
        <v>0.023287046431212457</v>
      </c>
      <c r="AC55" s="69">
        <f>21067.88-0.72</f>
        <v>21067.16</v>
      </c>
      <c r="AD55" s="163">
        <f t="shared" si="53"/>
        <v>0.03387968350662467</v>
      </c>
      <c r="AE55" s="69">
        <f>21282.94-0.92</f>
        <v>21282.02</v>
      </c>
      <c r="AF55" s="163">
        <f t="shared" si="54"/>
        <v>0.031441315096107335</v>
      </c>
      <c r="AG55" s="234">
        <f>AM55+AK55+AI55</f>
        <v>110056.13999999998</v>
      </c>
      <c r="AH55" s="221">
        <f t="shared" si="55"/>
        <v>0.06810717802119752</v>
      </c>
      <c r="AI55" s="69">
        <f>73581.53-0.63</f>
        <v>73580.9</v>
      </c>
      <c r="AJ55" s="163">
        <f t="shared" si="55"/>
        <v>0.12286887806790635</v>
      </c>
      <c r="AK55" s="69">
        <f>20018.31-1.56</f>
        <v>20016.75</v>
      </c>
      <c r="AL55" s="163">
        <f t="shared" si="56"/>
        <v>0.04327019729830804</v>
      </c>
      <c r="AM55" s="69">
        <f>16459.17-0.68</f>
        <v>16458.489999999998</v>
      </c>
      <c r="AN55" s="163">
        <f t="shared" si="57"/>
        <v>0.02968330401372223</v>
      </c>
    </row>
    <row r="56" spans="2:40" ht="12.75">
      <c r="B56" s="68" t="s">
        <v>32</v>
      </c>
      <c r="C56" s="53" t="s">
        <v>269</v>
      </c>
      <c r="D56" s="17" t="s">
        <v>237</v>
      </c>
      <c r="E56" s="17"/>
      <c r="F56" s="17"/>
      <c r="G56" s="202">
        <f>AM56+AK56+AI56+AE56+AC56+AA56+W56+U56+S56+O56+M56+K56</f>
        <v>90833.59999999999</v>
      </c>
      <c r="H56" s="163">
        <f t="shared" si="42"/>
        <v>0.018080135352764006</v>
      </c>
      <c r="I56" s="234">
        <f>O56+M56+K56</f>
        <v>0</v>
      </c>
      <c r="J56" s="221" t="e">
        <f t="shared" si="43"/>
        <v>#DIV/0!</v>
      </c>
      <c r="K56" s="69"/>
      <c r="L56" s="163" t="e">
        <f t="shared" si="44"/>
        <v>#DIV/0!</v>
      </c>
      <c r="M56" s="69"/>
      <c r="N56" s="163" t="e">
        <f t="shared" si="45"/>
        <v>#DIV/0!</v>
      </c>
      <c r="O56" s="69"/>
      <c r="P56" s="163" t="e">
        <f t="shared" si="46"/>
        <v>#DIV/0!</v>
      </c>
      <c r="Q56" s="234">
        <f>W56+U56+S56</f>
        <v>25697.82</v>
      </c>
      <c r="R56" s="221">
        <f t="shared" si="47"/>
        <v>0.02053418763226597</v>
      </c>
      <c r="S56" s="69"/>
      <c r="T56" s="163" t="e">
        <f t="shared" si="48"/>
        <v>#DIV/0!</v>
      </c>
      <c r="U56" s="69">
        <v>19956.51</v>
      </c>
      <c r="V56" s="163">
        <f t="shared" si="49"/>
        <v>0.03188548960023718</v>
      </c>
      <c r="W56" s="69">
        <v>5741.31</v>
      </c>
      <c r="X56" s="163">
        <f t="shared" si="50"/>
        <v>0.009177512896259007</v>
      </c>
      <c r="Y56" s="234">
        <f>AE56+AC56+AA56</f>
        <v>35620.61</v>
      </c>
      <c r="Z56" s="221">
        <f t="shared" si="51"/>
        <v>0.01651737570345102</v>
      </c>
      <c r="AA56" s="69">
        <v>12009.1</v>
      </c>
      <c r="AB56" s="163">
        <f t="shared" si="52"/>
        <v>0.013999062377211243</v>
      </c>
      <c r="AC56" s="69">
        <v>12194.31</v>
      </c>
      <c r="AD56" s="163">
        <f t="shared" si="53"/>
        <v>0.019610586494889115</v>
      </c>
      <c r="AE56" s="69">
        <v>11417.2</v>
      </c>
      <c r="AF56" s="163">
        <f t="shared" si="54"/>
        <v>0.016867373619387477</v>
      </c>
      <c r="AG56" s="234">
        <f>AM56+AK56+AI56</f>
        <v>29515.17</v>
      </c>
      <c r="AH56" s="221">
        <f t="shared" si="55"/>
        <v>0.018265177549529797</v>
      </c>
      <c r="AI56" s="69">
        <v>12536.08</v>
      </c>
      <c r="AJ56" s="163">
        <f t="shared" si="55"/>
        <v>0.020933341192748655</v>
      </c>
      <c r="AK56" s="69">
        <v>8600.97</v>
      </c>
      <c r="AL56" s="163">
        <f t="shared" si="56"/>
        <v>0.018592712046502476</v>
      </c>
      <c r="AM56" s="69">
        <v>8378.12</v>
      </c>
      <c r="AN56" s="163">
        <f t="shared" si="57"/>
        <v>0.015110151844029831</v>
      </c>
    </row>
    <row r="57" spans="2:40" ht="12.75">
      <c r="B57" s="68" t="s">
        <v>32</v>
      </c>
      <c r="C57" s="53" t="s">
        <v>270</v>
      </c>
      <c r="D57" s="17" t="s">
        <v>253</v>
      </c>
      <c r="E57" s="17"/>
      <c r="F57" s="17"/>
      <c r="G57" s="202">
        <f>AM57+AK57+AI57+AE57+AC57+AA57+W57+U57+S57+O57+M57+K57</f>
        <v>0</v>
      </c>
      <c r="H57" s="163">
        <f t="shared" si="42"/>
        <v>0</v>
      </c>
      <c r="I57" s="234">
        <f>O57+M57+K57</f>
        <v>0</v>
      </c>
      <c r="J57" s="221" t="e">
        <f t="shared" si="43"/>
        <v>#DIV/0!</v>
      </c>
      <c r="K57" s="69"/>
      <c r="L57" s="163" t="e">
        <f t="shared" si="44"/>
        <v>#DIV/0!</v>
      </c>
      <c r="M57" s="69"/>
      <c r="N57" s="163" t="e">
        <f t="shared" si="45"/>
        <v>#DIV/0!</v>
      </c>
      <c r="O57" s="69"/>
      <c r="P57" s="163" t="e">
        <f t="shared" si="46"/>
        <v>#DIV/0!</v>
      </c>
      <c r="Q57" s="234">
        <f>W57+U57+S57</f>
        <v>0</v>
      </c>
      <c r="R57" s="221">
        <f t="shared" si="47"/>
        <v>0</v>
      </c>
      <c r="S57" s="69"/>
      <c r="T57" s="163" t="e">
        <f t="shared" si="48"/>
        <v>#DIV/0!</v>
      </c>
      <c r="U57" s="69"/>
      <c r="V57" s="163">
        <f t="shared" si="49"/>
        <v>0</v>
      </c>
      <c r="W57" s="69"/>
      <c r="X57" s="163">
        <f t="shared" si="50"/>
        <v>0</v>
      </c>
      <c r="Y57" s="234">
        <f>AE57+AC57+AA57</f>
        <v>0</v>
      </c>
      <c r="Z57" s="221">
        <f t="shared" si="51"/>
        <v>0</v>
      </c>
      <c r="AA57" s="69"/>
      <c r="AB57" s="163">
        <f t="shared" si="52"/>
        <v>0</v>
      </c>
      <c r="AC57" s="69"/>
      <c r="AD57" s="163">
        <f t="shared" si="53"/>
        <v>0</v>
      </c>
      <c r="AE57" s="69"/>
      <c r="AF57" s="163">
        <f t="shared" si="54"/>
        <v>0</v>
      </c>
      <c r="AG57" s="234">
        <f>AM57+AK57+AI57</f>
        <v>0</v>
      </c>
      <c r="AH57" s="221">
        <f t="shared" si="55"/>
        <v>0</v>
      </c>
      <c r="AI57" s="69"/>
      <c r="AJ57" s="163">
        <f t="shared" si="55"/>
        <v>0</v>
      </c>
      <c r="AK57" s="69"/>
      <c r="AL57" s="163">
        <f t="shared" si="56"/>
        <v>0</v>
      </c>
      <c r="AM57" s="69"/>
      <c r="AN57" s="163">
        <f t="shared" si="57"/>
        <v>0</v>
      </c>
    </row>
    <row r="58" spans="2:40" ht="12.75">
      <c r="B58" s="68" t="s">
        <v>32</v>
      </c>
      <c r="C58" s="53" t="s">
        <v>271</v>
      </c>
      <c r="D58" s="17" t="s">
        <v>298</v>
      </c>
      <c r="E58" s="17"/>
      <c r="F58" s="17"/>
      <c r="G58" s="202">
        <f>AM58+AK58+AI58+AE58+AC58+AA58+W58+U58+S58+O58+M58+K58</f>
        <v>15676.42</v>
      </c>
      <c r="H58" s="163">
        <f t="shared" si="42"/>
        <v>0.0031203408809821116</v>
      </c>
      <c r="I58" s="234">
        <f>O58+M58+K58</f>
        <v>0</v>
      </c>
      <c r="J58" s="221" t="e">
        <f t="shared" si="43"/>
        <v>#DIV/0!</v>
      </c>
      <c r="K58" s="69"/>
      <c r="L58" s="163" t="e">
        <f t="shared" si="44"/>
        <v>#DIV/0!</v>
      </c>
      <c r="M58" s="69"/>
      <c r="N58" s="163" t="e">
        <f t="shared" si="45"/>
        <v>#DIV/0!</v>
      </c>
      <c r="O58" s="69"/>
      <c r="P58" s="163" t="e">
        <f t="shared" si="46"/>
        <v>#DIV/0!</v>
      </c>
      <c r="Q58" s="234">
        <f>W58+U58+S58</f>
        <v>4763.6</v>
      </c>
      <c r="R58" s="221">
        <f t="shared" si="47"/>
        <v>0.0038064184512562617</v>
      </c>
      <c r="S58" s="69"/>
      <c r="T58" s="163" t="e">
        <f t="shared" si="48"/>
        <v>#DIV/0!</v>
      </c>
      <c r="U58" s="69">
        <v>4489.18</v>
      </c>
      <c r="V58" s="163">
        <f t="shared" si="49"/>
        <v>0.0071725818894983525</v>
      </c>
      <c r="W58" s="69">
        <v>274.42</v>
      </c>
      <c r="X58" s="163">
        <f t="shared" si="50"/>
        <v>0.0004386617494946966</v>
      </c>
      <c r="Y58" s="234">
        <f>AE58+AC58+AA58</f>
        <v>10225.439999999999</v>
      </c>
      <c r="Z58" s="221">
        <f t="shared" si="51"/>
        <v>0.004741564903383075</v>
      </c>
      <c r="AA58" s="69">
        <f>4873.21-3000</f>
        <v>1873.21</v>
      </c>
      <c r="AB58" s="163">
        <f t="shared" si="52"/>
        <v>0.002183609399173616</v>
      </c>
      <c r="AC58" s="69">
        <v>3106.49</v>
      </c>
      <c r="AD58" s="163">
        <f t="shared" si="53"/>
        <v>0.0049957800679585876</v>
      </c>
      <c r="AE58" s="69">
        <v>5245.74</v>
      </c>
      <c r="AF58" s="163">
        <f t="shared" si="54"/>
        <v>0.0077498735670887475</v>
      </c>
      <c r="AG58" s="234">
        <f>AM58+AK58+AI58</f>
        <v>687.38</v>
      </c>
      <c r="AH58" s="221">
        <f t="shared" si="55"/>
        <v>0.0004253784661919885</v>
      </c>
      <c r="AI58" s="69">
        <v>477.12</v>
      </c>
      <c r="AJ58" s="163">
        <f t="shared" si="55"/>
        <v>0.0007967176142689133</v>
      </c>
      <c r="AK58" s="69">
        <v>153.23</v>
      </c>
      <c r="AL58" s="163">
        <f t="shared" si="56"/>
        <v>0.00033123720544142983</v>
      </c>
      <c r="AM58" s="69">
        <v>57.03</v>
      </c>
      <c r="AN58" s="163">
        <f t="shared" si="57"/>
        <v>0.0001028550509738487</v>
      </c>
    </row>
    <row r="59" spans="2:40" ht="12.75">
      <c r="B59" s="68" t="s">
        <v>32</v>
      </c>
      <c r="C59" s="53" t="s">
        <v>272</v>
      </c>
      <c r="D59" s="17" t="s">
        <v>299</v>
      </c>
      <c r="E59" s="17"/>
      <c r="F59" s="17"/>
      <c r="G59" s="202">
        <f>AM59+AK59+AI59+AE59+AC59+AA59+W59+U59+S59+O59+M59+K59</f>
        <v>65000</v>
      </c>
      <c r="H59" s="163">
        <f t="shared" si="42"/>
        <v>0.01293804052607912</v>
      </c>
      <c r="I59" s="234">
        <f>O59+M59+K59</f>
        <v>0</v>
      </c>
      <c r="J59" s="221" t="e">
        <f t="shared" si="43"/>
        <v>#DIV/0!</v>
      </c>
      <c r="K59" s="69"/>
      <c r="L59" s="163" t="e">
        <f t="shared" si="44"/>
        <v>#DIV/0!</v>
      </c>
      <c r="M59" s="69"/>
      <c r="N59" s="163" t="e">
        <f t="shared" si="45"/>
        <v>#DIV/0!</v>
      </c>
      <c r="O59" s="69"/>
      <c r="P59" s="163" t="e">
        <f t="shared" si="46"/>
        <v>#DIV/0!</v>
      </c>
      <c r="Q59" s="234">
        <f>W59+U59+S59</f>
        <v>65000</v>
      </c>
      <c r="R59" s="221">
        <f t="shared" si="47"/>
        <v>0.05193912153238244</v>
      </c>
      <c r="S59" s="69"/>
      <c r="T59" s="163" t="e">
        <f t="shared" si="48"/>
        <v>#DIV/0!</v>
      </c>
      <c r="U59" s="69">
        <v>65000</v>
      </c>
      <c r="V59" s="163">
        <f t="shared" si="49"/>
        <v>0.10385367100837857</v>
      </c>
      <c r="W59" s="69"/>
      <c r="X59" s="163">
        <f t="shared" si="50"/>
        <v>0</v>
      </c>
      <c r="Y59" s="234">
        <f>AE59+AC59+AA59</f>
        <v>0</v>
      </c>
      <c r="Z59" s="221">
        <f t="shared" si="51"/>
        <v>0</v>
      </c>
      <c r="AA59" s="69"/>
      <c r="AB59" s="163">
        <f t="shared" si="52"/>
        <v>0</v>
      </c>
      <c r="AC59" s="69"/>
      <c r="AD59" s="163">
        <f t="shared" si="53"/>
        <v>0</v>
      </c>
      <c r="AE59" s="69"/>
      <c r="AF59" s="163">
        <f t="shared" si="54"/>
        <v>0</v>
      </c>
      <c r="AG59" s="234">
        <f>AM59+AK59+AI59</f>
        <v>0</v>
      </c>
      <c r="AH59" s="221">
        <f t="shared" si="55"/>
        <v>0</v>
      </c>
      <c r="AI59" s="69"/>
      <c r="AJ59" s="163">
        <f t="shared" si="55"/>
        <v>0</v>
      </c>
      <c r="AK59" s="69"/>
      <c r="AL59" s="163">
        <f t="shared" si="56"/>
        <v>0</v>
      </c>
      <c r="AM59" s="69"/>
      <c r="AN59" s="163">
        <f t="shared" si="57"/>
        <v>0</v>
      </c>
    </row>
    <row r="60" spans="2:40" ht="12.75">
      <c r="B60" s="68"/>
      <c r="C60" s="53"/>
      <c r="D60" s="17"/>
      <c r="E60" s="17"/>
      <c r="F60" s="17"/>
      <c r="G60" s="69"/>
      <c r="H60" s="163"/>
      <c r="I60" s="235"/>
      <c r="J60" s="221"/>
      <c r="K60" s="69"/>
      <c r="L60" s="163"/>
      <c r="M60" s="69"/>
      <c r="N60" s="163"/>
      <c r="O60" s="69"/>
      <c r="P60" s="163"/>
      <c r="Q60" s="235"/>
      <c r="R60" s="221"/>
      <c r="S60" s="69"/>
      <c r="T60" s="163"/>
      <c r="U60" s="69"/>
      <c r="V60" s="163"/>
      <c r="W60" s="69"/>
      <c r="X60" s="163"/>
      <c r="Y60" s="235"/>
      <c r="Z60" s="221"/>
      <c r="AA60" s="69"/>
      <c r="AB60" s="163"/>
      <c r="AC60" s="69"/>
      <c r="AD60" s="163"/>
      <c r="AE60" s="69"/>
      <c r="AF60" s="163"/>
      <c r="AG60" s="235"/>
      <c r="AH60" s="221"/>
      <c r="AI60" s="69"/>
      <c r="AJ60" s="163"/>
      <c r="AK60" s="69"/>
      <c r="AL60" s="163"/>
      <c r="AM60" s="69"/>
      <c r="AN60" s="163"/>
    </row>
    <row r="61" spans="2:40" ht="12.75">
      <c r="B61" s="74" t="s">
        <v>84</v>
      </c>
      <c r="C61" s="165" t="s">
        <v>33</v>
      </c>
      <c r="D61" s="50" t="s">
        <v>238</v>
      </c>
      <c r="E61" s="50"/>
      <c r="F61" s="50"/>
      <c r="G61" s="70">
        <f>G62+G63</f>
        <v>-384667.17000000004</v>
      </c>
      <c r="H61" s="162">
        <f>+G61/G$5</f>
        <v>-0.07656676053095642</v>
      </c>
      <c r="I61" s="218">
        <f>I62+I63</f>
        <v>0</v>
      </c>
      <c r="J61" s="219" t="e">
        <f>+I61/I$5</f>
        <v>#DIV/0!</v>
      </c>
      <c r="K61" s="70">
        <f>K62+K63</f>
        <v>0</v>
      </c>
      <c r="L61" s="162" t="e">
        <f>+K61/K$5</f>
        <v>#DIV/0!</v>
      </c>
      <c r="M61" s="70">
        <f>M62+M63</f>
        <v>0</v>
      </c>
      <c r="N61" s="162" t="e">
        <f>+M61/M$5</f>
        <v>#DIV/0!</v>
      </c>
      <c r="O61" s="70">
        <f>O62+O63</f>
        <v>0</v>
      </c>
      <c r="P61" s="162" t="e">
        <f>+O61/O$5</f>
        <v>#DIV/0!</v>
      </c>
      <c r="Q61" s="218">
        <f>Q62+Q63</f>
        <v>-39261.34</v>
      </c>
      <c r="R61" s="219">
        <f>+Q61/Q$5</f>
        <v>-0.031372300150525965</v>
      </c>
      <c r="S61" s="70">
        <f>S62+S63</f>
        <v>0</v>
      </c>
      <c r="T61" s="162" t="e">
        <f>+S61/S$5</f>
        <v>#DIV/0!</v>
      </c>
      <c r="U61" s="70">
        <f>U62+U63</f>
        <v>-16216.05</v>
      </c>
      <c r="V61" s="162">
        <f>+U61/U$5</f>
        <v>-0.025909174180852573</v>
      </c>
      <c r="W61" s="70">
        <f>W62+W63</f>
        <v>-23045.29</v>
      </c>
      <c r="X61" s="162">
        <f>+W61/W$5</f>
        <v>-0.036838011912443104</v>
      </c>
      <c r="Y61" s="218">
        <f>Y62+Y63</f>
        <v>-67920.81</v>
      </c>
      <c r="Z61" s="219">
        <f>+Y61/Y$5</f>
        <v>-0.03149506807583343</v>
      </c>
      <c r="AA61" s="70">
        <f>AA62+AA63</f>
        <v>-18466.97</v>
      </c>
      <c r="AB61" s="162">
        <f>+AA61/AA$5</f>
        <v>-0.021527030747357314</v>
      </c>
      <c r="AC61" s="70">
        <f>AC62+AC63</f>
        <v>-27222.520000000004</v>
      </c>
      <c r="AD61" s="162">
        <f>+AC61/AC$5</f>
        <v>-0.04377858058954127</v>
      </c>
      <c r="AE61" s="70">
        <f>AE62+AE63</f>
        <v>-22231.32</v>
      </c>
      <c r="AF61" s="162">
        <f>+AE61/AE$5</f>
        <v>-0.03284377785202687</v>
      </c>
      <c r="AG61" s="218">
        <f>AG62+AG63</f>
        <v>-277485.02</v>
      </c>
      <c r="AH61" s="219">
        <f>+AG61/AG$5</f>
        <v>-0.17171892141006906</v>
      </c>
      <c r="AI61" s="70">
        <f>AI62+AI63</f>
        <v>-113784.62</v>
      </c>
      <c r="AJ61" s="162">
        <f>+AI61/AI$5</f>
        <v>-0.19000295729982997</v>
      </c>
      <c r="AK61" s="70">
        <f>AK62+AK63</f>
        <v>-70498.12</v>
      </c>
      <c r="AL61" s="162">
        <f>+AK61/AK$5</f>
        <v>-0.15239574664017863</v>
      </c>
      <c r="AM61" s="70">
        <f>AM62+AM63</f>
        <v>-93202.28</v>
      </c>
      <c r="AN61" s="162">
        <f>+AM61/AM$5</f>
        <v>-0.1680926750881802</v>
      </c>
    </row>
    <row r="62" spans="2:40" ht="12.75">
      <c r="B62" s="68" t="s">
        <v>84</v>
      </c>
      <c r="C62" s="53" t="s">
        <v>206</v>
      </c>
      <c r="D62" s="17" t="s">
        <v>238</v>
      </c>
      <c r="E62" s="17"/>
      <c r="F62" s="17"/>
      <c r="G62" s="202">
        <f>AM62+AK62+AI62+AE62+AC62+AA62+W62+U62+S62+O62+M62+K62</f>
        <v>-247874.35</v>
      </c>
      <c r="H62" s="163">
        <f>+G62/G$5</f>
        <v>-0.04933859054885416</v>
      </c>
      <c r="I62" s="234">
        <f>O62+M62+K62</f>
        <v>0</v>
      </c>
      <c r="J62" s="221" t="e">
        <f>+I62/I$5</f>
        <v>#DIV/0!</v>
      </c>
      <c r="K62" s="69"/>
      <c r="L62" s="163" t="e">
        <f>+K62/K$5</f>
        <v>#DIV/0!</v>
      </c>
      <c r="M62" s="69"/>
      <c r="N62" s="163" t="e">
        <f>+M62/M$5</f>
        <v>#DIV/0!</v>
      </c>
      <c r="O62" s="184"/>
      <c r="P62" s="163" t="e">
        <f>+O62/O$5</f>
        <v>#DIV/0!</v>
      </c>
      <c r="Q62" s="234">
        <f>W62+U62+S62</f>
        <v>-31015.52</v>
      </c>
      <c r="R62" s="221">
        <f>+Q62/Q$5</f>
        <v>-0.02478336711800059</v>
      </c>
      <c r="S62" s="184"/>
      <c r="T62" s="163" t="e">
        <f>+S62/S$5</f>
        <v>#DIV/0!</v>
      </c>
      <c r="U62" s="69">
        <v>-13555.8</v>
      </c>
      <c r="V62" s="163">
        <f>+U62/U$5</f>
        <v>-0.021658762976236586</v>
      </c>
      <c r="W62" s="69">
        <v>-17459.72</v>
      </c>
      <c r="X62" s="163">
        <f>+W62/W$5</f>
        <v>-0.027909450189080767</v>
      </c>
      <c r="Y62" s="234">
        <f>AE62+AC62+AA62</f>
        <v>-53845.25</v>
      </c>
      <c r="Z62" s="221">
        <f>+Y62/Y$5</f>
        <v>-0.02496819184444753</v>
      </c>
      <c r="AA62" s="69">
        <v>-17680.2</v>
      </c>
      <c r="AB62" s="163">
        <f>+AA62/AA$5</f>
        <v>-0.020609889387345447</v>
      </c>
      <c r="AC62" s="69">
        <v>-18585.7</v>
      </c>
      <c r="AD62" s="163">
        <f>+AC62/AC$5</f>
        <v>-0.029889061161973138</v>
      </c>
      <c r="AE62" s="69">
        <v>-17579.35</v>
      </c>
      <c r="AF62" s="163">
        <f>+AE62/AE$5</f>
        <v>-0.025971119401953124</v>
      </c>
      <c r="AG62" s="234">
        <f>AM62+AK62+AI62</f>
        <v>-163013.58</v>
      </c>
      <c r="AH62" s="221">
        <f>+AG62/AG$5</f>
        <v>-0.10087937767881668</v>
      </c>
      <c r="AI62" s="69">
        <v>-20609.54</v>
      </c>
      <c r="AJ62" s="163">
        <f>+AI62/AI$5</f>
        <v>-0.03441478776823386</v>
      </c>
      <c r="AK62" s="69">
        <v>-63090.92</v>
      </c>
      <c r="AL62" s="163">
        <f>+AK62/AK$5</f>
        <v>-0.13638360653611442</v>
      </c>
      <c r="AM62" s="69">
        <v>-79313.12</v>
      </c>
      <c r="AN62" s="163">
        <f>+AM62/AM$5</f>
        <v>-0.14304322287383794</v>
      </c>
    </row>
    <row r="63" spans="2:40" ht="12.75">
      <c r="B63" s="68" t="s">
        <v>84</v>
      </c>
      <c r="C63" s="53" t="s">
        <v>207</v>
      </c>
      <c r="D63" s="17" t="s">
        <v>239</v>
      </c>
      <c r="E63" s="17"/>
      <c r="F63" s="17"/>
      <c r="G63" s="202">
        <f>AM63+AK63+AI63+AE63+AC63+AA63+W63+U63+S63+O63+M63+K63</f>
        <v>-136792.82</v>
      </c>
      <c r="H63" s="163">
        <f>+G63/G$5</f>
        <v>-0.027228169982102257</v>
      </c>
      <c r="I63" s="234">
        <f>O63+M63+K63</f>
        <v>0</v>
      </c>
      <c r="J63" s="221" t="e">
        <f>+I63/I$5</f>
        <v>#DIV/0!</v>
      </c>
      <c r="K63" s="69"/>
      <c r="L63" s="163" t="e">
        <f>+K63/K$5</f>
        <v>#DIV/0!</v>
      </c>
      <c r="M63" s="69"/>
      <c r="N63" s="163" t="e">
        <f>+M63/M$5</f>
        <v>#DIV/0!</v>
      </c>
      <c r="O63" s="184"/>
      <c r="P63" s="163" t="e">
        <f>+O63/O$5</f>
        <v>#DIV/0!</v>
      </c>
      <c r="Q63" s="234">
        <f>W63+U63+S63</f>
        <v>-8245.82</v>
      </c>
      <c r="R63" s="221">
        <f>+Q63/Q$5</f>
        <v>-0.006588933032525381</v>
      </c>
      <c r="S63" s="184"/>
      <c r="T63" s="163" t="e">
        <f>+S63/S$5</f>
        <v>#DIV/0!</v>
      </c>
      <c r="U63" s="69">
        <v>-2660.25</v>
      </c>
      <c r="V63" s="163">
        <f>+U63/U$5</f>
        <v>-0.0042504112046159856</v>
      </c>
      <c r="W63" s="69">
        <v>-5585.57</v>
      </c>
      <c r="X63" s="163">
        <f>+W63/W$5</f>
        <v>-0.008928561723362335</v>
      </c>
      <c r="Y63" s="234">
        <f>AE63+AC63+AA63</f>
        <v>-14075.560000000001</v>
      </c>
      <c r="Z63" s="221">
        <f>+Y63/Y$5</f>
        <v>-0.006526876231385905</v>
      </c>
      <c r="AA63" s="69">
        <f>-3287.13+2500.36</f>
        <v>-786.77</v>
      </c>
      <c r="AB63" s="163">
        <f>+AA63/AA$5</f>
        <v>-0.000917141360011865</v>
      </c>
      <c r="AC63" s="69">
        <f>-8642.54+5.72</f>
        <v>-8636.820000000002</v>
      </c>
      <c r="AD63" s="163">
        <f>+AC63/AC$5</f>
        <v>-0.013889519427568124</v>
      </c>
      <c r="AE63" s="69">
        <v>-4651.97</v>
      </c>
      <c r="AF63" s="163">
        <f>+AE63/AE$5</f>
        <v>-0.006872658450073745</v>
      </c>
      <c r="AG63" s="234">
        <f>AM63+AK63+AI63</f>
        <v>-114471.44</v>
      </c>
      <c r="AH63" s="221">
        <f>+AG63/AG$5</f>
        <v>-0.07083954373125236</v>
      </c>
      <c r="AI63" s="69">
        <v>-93175.08</v>
      </c>
      <c r="AJ63" s="163">
        <f>+AI63/AI$5</f>
        <v>-0.1555881695315961</v>
      </c>
      <c r="AK63" s="69">
        <v>-7407.2</v>
      </c>
      <c r="AL63" s="163">
        <f>+AK63/AK$5</f>
        <v>-0.01601214010406421</v>
      </c>
      <c r="AM63" s="69">
        <v>-13889.16</v>
      </c>
      <c r="AN63" s="163">
        <f>+AM63/AM$5</f>
        <v>-0.02504945221434228</v>
      </c>
    </row>
    <row r="64" spans="2:40" ht="12.75">
      <c r="B64" s="169"/>
      <c r="C64" s="170"/>
      <c r="D64" s="170"/>
      <c r="E64" s="170"/>
      <c r="F64" s="170"/>
      <c r="G64" s="171"/>
      <c r="H64" s="172"/>
      <c r="I64" s="236"/>
      <c r="J64" s="237"/>
      <c r="K64" s="171"/>
      <c r="L64" s="172"/>
      <c r="M64" s="171"/>
      <c r="N64" s="172"/>
      <c r="O64" s="171"/>
      <c r="P64" s="172"/>
      <c r="Q64" s="236"/>
      <c r="R64" s="237"/>
      <c r="S64" s="171"/>
      <c r="T64" s="172"/>
      <c r="U64" s="171"/>
      <c r="V64" s="172"/>
      <c r="W64" s="171"/>
      <c r="X64" s="172"/>
      <c r="Y64" s="236"/>
      <c r="Z64" s="237"/>
      <c r="AA64" s="171"/>
      <c r="AB64" s="172"/>
      <c r="AC64" s="171"/>
      <c r="AD64" s="172"/>
      <c r="AE64" s="171"/>
      <c r="AF64" s="172"/>
      <c r="AG64" s="236"/>
      <c r="AH64" s="237"/>
      <c r="AI64" s="171"/>
      <c r="AJ64" s="172"/>
      <c r="AK64" s="171"/>
      <c r="AL64" s="172"/>
      <c r="AM64" s="171"/>
      <c r="AN64" s="172"/>
    </row>
    <row r="65" spans="2:44" ht="12.75">
      <c r="B65" s="120"/>
      <c r="C65" s="158" t="s">
        <v>34</v>
      </c>
      <c r="D65" s="158" t="s">
        <v>119</v>
      </c>
      <c r="E65" s="158"/>
      <c r="F65" s="158"/>
      <c r="G65" s="207">
        <f>G50+G52</f>
        <v>539444.3999999991</v>
      </c>
      <c r="H65" s="71">
        <f>+G65/G$5</f>
        <v>0.10737466936563729</v>
      </c>
      <c r="I65" s="238">
        <f>I50+I52</f>
        <v>0</v>
      </c>
      <c r="J65" s="239" t="e">
        <f>+I65/I$5</f>
        <v>#DIV/0!</v>
      </c>
      <c r="K65" s="173">
        <f>K50+K52</f>
        <v>0</v>
      </c>
      <c r="L65" s="71" t="e">
        <f>+K65/K$5</f>
        <v>#DIV/0!</v>
      </c>
      <c r="M65" s="173">
        <f>M50+M52</f>
        <v>0</v>
      </c>
      <c r="N65" s="71" t="e">
        <f>+M65/M$5</f>
        <v>#DIV/0!</v>
      </c>
      <c r="O65" s="173">
        <f>O50+O52</f>
        <v>0</v>
      </c>
      <c r="P65" s="71" t="e">
        <f>+O65/O$5</f>
        <v>#DIV/0!</v>
      </c>
      <c r="Q65" s="238">
        <f>Q50+Q52</f>
        <v>261197.0399999997</v>
      </c>
      <c r="R65" s="239">
        <f>+Q65/Q$5</f>
        <v>0.20871299699166987</v>
      </c>
      <c r="S65" s="173">
        <f>S50+S52</f>
        <v>0</v>
      </c>
      <c r="T65" s="71" t="e">
        <f>+S65/S$5</f>
        <v>#DIV/0!</v>
      </c>
      <c r="U65" s="173">
        <f>U50+U52</f>
        <v>177258.16000000003</v>
      </c>
      <c r="V65" s="71">
        <f>+U65/U$5</f>
        <v>0.2832140097260082</v>
      </c>
      <c r="W65" s="173">
        <f>W50+W52</f>
        <v>83938.87999999999</v>
      </c>
      <c r="X65" s="71">
        <f>+W65/W$5</f>
        <v>0.13417672163627065</v>
      </c>
      <c r="Y65" s="238">
        <f>Y50+Y52</f>
        <v>439593.1699999997</v>
      </c>
      <c r="Z65" s="239">
        <f>+Y65/Y$5</f>
        <v>0.20384057279089296</v>
      </c>
      <c r="AA65" s="173">
        <f>AA50+AA52</f>
        <v>267102.9999999999</v>
      </c>
      <c r="AB65" s="71">
        <f>+AA65/AA$5</f>
        <v>0.3113631794339503</v>
      </c>
      <c r="AC65" s="173">
        <f>AC50+AC52</f>
        <v>-16407.910000000098</v>
      </c>
      <c r="AD65" s="71">
        <f>+AC65/AC$5</f>
        <v>-0.026386793369641906</v>
      </c>
      <c r="AE65" s="173">
        <f>AE50+AE52</f>
        <v>188898.07999999996</v>
      </c>
      <c r="AF65" s="71">
        <f>+AE65/AE$5</f>
        <v>0.27907144407954176</v>
      </c>
      <c r="AG65" s="238">
        <f>AG50+AG52</f>
        <v>-161345.81000000023</v>
      </c>
      <c r="AH65" s="239">
        <f>+AG65/AG$5</f>
        <v>-0.0998472943412728</v>
      </c>
      <c r="AI65" s="173">
        <f>AI50+AI52</f>
        <v>10405.569999999963</v>
      </c>
      <c r="AJ65" s="71">
        <f>+AI65/AI$5</f>
        <v>0.017375714506849736</v>
      </c>
      <c r="AK65" s="173">
        <f>AK50+AK52</f>
        <v>-119438.15999999999</v>
      </c>
      <c r="AL65" s="71">
        <f>+AK65/AK$5</f>
        <v>-0.258189403781677</v>
      </c>
      <c r="AM65" s="173">
        <f>AM50+AM52</f>
        <v>-52313.220000000074</v>
      </c>
      <c r="AN65" s="71">
        <f>+AM65/AM$5</f>
        <v>-0.09434821865169504</v>
      </c>
      <c r="AR65" s="244"/>
    </row>
    <row r="66" spans="2:44" ht="12.75">
      <c r="B66" s="17"/>
      <c r="C66" s="17"/>
      <c r="D66" s="245"/>
      <c r="E66" s="245"/>
      <c r="F66" s="246"/>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row>
    <row r="67" spans="2:44" ht="12.75">
      <c r="B67" s="50"/>
      <c r="C67" s="50"/>
      <c r="D67" s="245"/>
      <c r="E67" s="245"/>
      <c r="F67" s="246"/>
      <c r="G67" s="203"/>
      <c r="H67" s="203"/>
      <c r="I67" s="203">
        <f>BALANCO!E111-BALANCO!K111</f>
        <v>0</v>
      </c>
      <c r="J67" s="203"/>
      <c r="K67" s="203">
        <f>BALANCO!E111-BALANCO!G111</f>
        <v>0</v>
      </c>
      <c r="L67" s="203"/>
      <c r="M67" s="203">
        <f>BALANCO!G111-BALANCO!I111</f>
        <v>0</v>
      </c>
      <c r="N67" s="203"/>
      <c r="O67" s="203">
        <f>BALANCO!I111-BALANCO!K111</f>
        <v>0</v>
      </c>
      <c r="P67" s="203"/>
      <c r="Q67" s="203">
        <f>BALANCO!K111-BALANCO!Q111</f>
        <v>-278247.35999999987</v>
      </c>
      <c r="R67" s="203"/>
      <c r="S67" s="203">
        <f>BALANCO!K111-BALANCO!M111</f>
        <v>-539444.3999999994</v>
      </c>
      <c r="T67" s="203"/>
      <c r="U67" s="203">
        <f>BALANCO!M111-BALANCO!O111</f>
        <v>177258.15999999922</v>
      </c>
      <c r="V67" s="203"/>
      <c r="W67" s="203">
        <f>BALANCO!O111-BALANCO!Q111</f>
        <v>83938.88000000035</v>
      </c>
      <c r="X67" s="203"/>
      <c r="Y67" s="203">
        <f>BALANCO!Q111-BALANCO!W111</f>
        <v>439593.1699999999</v>
      </c>
      <c r="Z67" s="203"/>
      <c r="AA67" s="203">
        <f>BALANCO!Q111-BALANCO!S111</f>
        <v>267103</v>
      </c>
      <c r="AB67" s="203"/>
      <c r="AC67" s="203">
        <f>BALANCO!S111-BALANCO!U111</f>
        <v>-16407.91000000015</v>
      </c>
      <c r="AD67" s="203"/>
      <c r="AE67" s="203">
        <f>BALANCO!U111-BALANCO!W111</f>
        <v>188898.08000000007</v>
      </c>
      <c r="AF67" s="203"/>
      <c r="AG67" s="203">
        <f>BALANCO!W111</f>
        <v>-161345.81000000006</v>
      </c>
      <c r="AH67" s="203"/>
      <c r="AI67" s="203">
        <f>BALANCO!W111-BALANCO!Y111</f>
        <v>10405.570000000065</v>
      </c>
      <c r="AJ67" s="203"/>
      <c r="AK67" s="203">
        <f>BALANCO!Y111-BALANCO!AA111</f>
        <v>-119438.16000000015</v>
      </c>
      <c r="AL67" s="203"/>
      <c r="AM67" s="203">
        <f>BALANCO!AA111</f>
        <v>-52313.21999999997</v>
      </c>
      <c r="AN67" s="203"/>
      <c r="AO67" s="203"/>
      <c r="AP67" s="203"/>
      <c r="AQ67" s="203"/>
      <c r="AR67" s="203"/>
    </row>
    <row r="68" spans="2:44" ht="12.75">
      <c r="B68" s="50"/>
      <c r="C68" s="50"/>
      <c r="D68" s="245"/>
      <c r="E68" s="245"/>
      <c r="F68" s="246"/>
      <c r="G68" s="203"/>
      <c r="H68" s="203"/>
      <c r="I68" s="203">
        <f>I65-I67</f>
        <v>0</v>
      </c>
      <c r="J68" s="203"/>
      <c r="K68" s="203">
        <f>K65-K67</f>
        <v>0</v>
      </c>
      <c r="L68" s="203"/>
      <c r="M68" s="203">
        <f>M65-M67</f>
        <v>0</v>
      </c>
      <c r="N68" s="203"/>
      <c r="O68" s="203">
        <f>O65-O67</f>
        <v>0</v>
      </c>
      <c r="P68" s="203"/>
      <c r="Q68" s="203">
        <f>Q65-Q67</f>
        <v>539444.3999999996</v>
      </c>
      <c r="R68" s="203"/>
      <c r="S68" s="203">
        <f>S65-S67</f>
        <v>539444.3999999994</v>
      </c>
      <c r="T68" s="203"/>
      <c r="U68" s="203">
        <f>U65-U67</f>
        <v>8.149072527885437E-10</v>
      </c>
      <c r="V68" s="203"/>
      <c r="W68" s="203">
        <f>W65-W67</f>
        <v>-3.637978807091713E-10</v>
      </c>
      <c r="X68" s="203"/>
      <c r="Y68" s="203">
        <f>Y65-Y67</f>
        <v>0</v>
      </c>
      <c r="Z68" s="203"/>
      <c r="AA68" s="203">
        <f>AA65-AA67</f>
        <v>0</v>
      </c>
      <c r="AB68" s="203"/>
      <c r="AC68" s="203">
        <f>AC65-AC67</f>
        <v>5.093170329928398E-11</v>
      </c>
      <c r="AD68" s="203"/>
      <c r="AE68" s="203">
        <f>AE65-AE67</f>
        <v>0</v>
      </c>
      <c r="AF68" s="203"/>
      <c r="AG68" s="203">
        <f>AG65-AG67</f>
        <v>0</v>
      </c>
      <c r="AH68" s="203"/>
      <c r="AI68" s="203">
        <f>AI65-AI67</f>
        <v>-1.0186340659856796E-10</v>
      </c>
      <c r="AJ68" s="203"/>
      <c r="AK68" s="203">
        <f>AK65-AK67</f>
        <v>1.6007106751203537E-10</v>
      </c>
      <c r="AL68" s="203"/>
      <c r="AM68" s="203">
        <f>AM65-AM67</f>
        <v>-1.0186340659856796E-10</v>
      </c>
      <c r="AN68" s="203"/>
      <c r="AO68" s="203"/>
      <c r="AP68" s="203"/>
      <c r="AQ68" s="203"/>
      <c r="AR68" s="203"/>
    </row>
    <row r="69" spans="2:44" ht="12.75">
      <c r="B69" s="50"/>
      <c r="C69" s="50"/>
      <c r="D69" s="245"/>
      <c r="E69" s="245"/>
      <c r="F69" s="246"/>
      <c r="G69" s="203">
        <f>U65+W65+AA65+AC65+AE65+AI65+AK65+AM65+S65+O65+M65+K65</f>
        <v>539444.3999999996</v>
      </c>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row>
    <row r="70" spans="2:44" ht="12.75">
      <c r="B70" s="50"/>
      <c r="C70" s="50"/>
      <c r="D70" s="245"/>
      <c r="E70" s="245"/>
      <c r="F70" s="246"/>
      <c r="G70" s="203">
        <f>G69-G65</f>
        <v>0</v>
      </c>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row>
    <row r="71" spans="6:38" ht="12.75">
      <c r="F71" s="125"/>
      <c r="G71" s="125"/>
      <c r="I71" s="203"/>
      <c r="Q71" s="203"/>
      <c r="Y71" s="203"/>
      <c r="AK71" s="203"/>
      <c r="AL71" s="203"/>
    </row>
    <row r="72" spans="6:38" ht="12.75">
      <c r="F72" s="125"/>
      <c r="G72" s="125"/>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203"/>
      <c r="AL72" s="203"/>
    </row>
    <row r="73" spans="6:38" ht="12.75">
      <c r="F73" s="125"/>
      <c r="G73" s="125"/>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203"/>
      <c r="AL73" s="203"/>
    </row>
    <row r="74" spans="6:38" ht="12.75">
      <c r="F74" s="125"/>
      <c r="G74" s="125"/>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203"/>
      <c r="AL74" s="203"/>
    </row>
    <row r="75" spans="6:38" ht="12.75">
      <c r="F75" s="125"/>
      <c r="G75" s="125"/>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203"/>
      <c r="AL75" s="203"/>
    </row>
    <row r="76" spans="6:38" ht="12.75">
      <c r="F76" s="125"/>
      <c r="G76" s="125"/>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203"/>
      <c r="AL76" s="203"/>
    </row>
    <row r="77" spans="6:38" ht="12.75">
      <c r="F77" s="125"/>
      <c r="G77" s="125"/>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203"/>
      <c r="AL77" s="203"/>
    </row>
  </sheetData>
  <sheetProtection/>
  <mergeCells count="14">
    <mergeCell ref="AG3:AH3"/>
    <mergeCell ref="Y3:Z3"/>
    <mergeCell ref="Q3:R3"/>
    <mergeCell ref="I3:J3"/>
    <mergeCell ref="D15:F15"/>
    <mergeCell ref="D16:F16"/>
    <mergeCell ref="D18:F18"/>
    <mergeCell ref="D9:F9"/>
    <mergeCell ref="D10:F10"/>
    <mergeCell ref="D11:F11"/>
    <mergeCell ref="D12:F12"/>
    <mergeCell ref="D13:F13"/>
    <mergeCell ref="D14:F14"/>
    <mergeCell ref="D17:F17"/>
  </mergeCells>
  <printOptions/>
  <pageMargins left="0.511811024" right="0.511811024" top="0.787401575" bottom="0.787401575" header="0.31496062" footer="0.31496062"/>
  <pageSetup orientation="landscape" paperSize="9" r:id="rId1"/>
  <ignoredErrors>
    <ignoredError sqref="AI6:AN6 AI64:AN64 AI18:AN19 AB7 AQ7:AR7 AB5 AD5 AF5 AJ5 AL5 AN5 AD7 AF7 AJ7 AL7 AI24:AN28 AI66:AN66 AA65:AB65 AN65 AI47:AN47 AJ65:AL65 AF65 AD65 AI32:AN33 AI8:AN8 AA32:AF33 AA66:AF66 AA46:AF47 AA23:AF28 AA8:AF8 AB18:AF19 AB64:AF64 AA6:AF6 AI51:AN53 AJ50:AN50 AP54:AR63 AB9:AB16 AB29:AB31 AB44:AB45 AA49:AF53 AB48 AD9:AD16 AB20:AB22 AD20:AD22 AD29:AD31 AD44:AD45 AD48 AF9:AF16 AF20:AF22 AF29:AF31 AF44:AF45 AF48 AJ9:AJ16 AJ20:AJ22 AJ29:AJ31 AJ44:AJ45 AI49:AN49 AJ48 AL9:AL16 AL20:AL22 AL29:AL31 AL44:AL45 AL48 AN9:AN16 AI23:AL23 AN20:AN23 AN29:AN31 AI46:AL46 AN44:AN46 AN48 AO5:AR6 AN7:AO7 AO64:AR64 AO8:AR13 AO37:AP37 AO18:AR34 AN34 AL34 AJ34 AF34 AD34 AB34 AO44:AR44 AO39:AQ39 AO40:AR42 AN36:AN42 AL36:AL42 AJ36:AJ42 AF36:AF42 AD36:AD42 AB36:AB42 AO46:AR53 AO45:AQ45 AO66:AR66 AO65:AQ65 AO36:AP36 AR36 AO38:AP38 AR38 AR37 AO15:AR16 AO14 AQ14:AR14" formula="1"/>
    <ignoredError sqref="AI61:AN61 AO60 AJ57 AB54 AI54:AN54 AJ59 AJ58 AD54:AF54 AB57:AB59 AA61:AF61 AB55:AB56 AB62:AB63 AD57:AD59 AD55:AD56 AD62:AD63 AF57:AF59 AF55:AF56 AF62:AF63 AJ55:AJ56 AJ62:AJ63 AL57 AL59 AL58 AL55:AL56 AL62:AL63 AN57 AN59 AN58 AN55:AN56 AN62:AN63 AO61 AO54 AO57 AO59 AO58 AO55:AO56 AO62:AO63"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 Rosa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Campestre</cp:lastModifiedBy>
  <cp:lastPrinted>2018-08-23T20:03:27Z</cp:lastPrinted>
  <dcterms:created xsi:type="dcterms:W3CDTF">2011-02-23T00:04:26Z</dcterms:created>
  <dcterms:modified xsi:type="dcterms:W3CDTF">2019-10-29T21:11:11Z</dcterms:modified>
  <cp:category/>
  <cp:version/>
  <cp:contentType/>
  <cp:contentStatus/>
</cp:coreProperties>
</file>